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935"/>
  </bookViews>
  <sheets>
    <sheet name="Draw" sheetId="1" r:id="rId1"/>
  </sheets>
  <externalReferences>
    <externalReference r:id="rId2"/>
  </externalReferences>
  <definedNames>
    <definedName name="_xlnm._FilterDatabase" localSheetId="0" hidden="1">Draw!$A$4:$S$20</definedName>
    <definedName name="_xlnm.Print_Area" localSheetId="0">Draw!$A$1:$S$28</definedName>
  </definedNames>
  <calcPr calcId="124519"/>
</workbook>
</file>

<file path=xl/calcChain.xml><?xml version="1.0" encoding="utf-8"?>
<calcChain xmlns="http://schemas.openxmlformats.org/spreadsheetml/2006/main">
  <c r="J44" i="1"/>
  <c r="J43"/>
  <c r="J42"/>
  <c r="J41"/>
  <c r="J28"/>
  <c r="R27"/>
  <c r="J27"/>
  <c r="J26"/>
  <c r="J25"/>
  <c r="G20"/>
  <c r="H20" s="1"/>
  <c r="C14"/>
  <c r="G13"/>
  <c r="H13" s="1"/>
  <c r="B13"/>
  <c r="C10"/>
  <c r="B9"/>
  <c r="G9" s="1"/>
  <c r="G6"/>
  <c r="H6" s="1"/>
  <c r="E6"/>
  <c r="D6" s="1"/>
  <c r="H5"/>
  <c r="G5"/>
  <c r="I5" s="1"/>
  <c r="F5"/>
  <c r="B2"/>
  <c r="G19" s="1"/>
  <c r="R1"/>
  <c r="A1"/>
  <c r="I19" l="1"/>
  <c r="H19"/>
  <c r="F19"/>
  <c r="L5"/>
  <c r="J5"/>
  <c r="K5" s="1"/>
  <c r="N5" s="1"/>
  <c r="P6" s="1"/>
  <c r="R8" s="1"/>
  <c r="R12" s="1"/>
  <c r="D7"/>
  <c r="B6"/>
  <c r="I9"/>
  <c r="H9"/>
  <c r="F9"/>
  <c r="I6"/>
  <c r="E11"/>
  <c r="G11"/>
  <c r="I13"/>
  <c r="E14"/>
  <c r="G14"/>
  <c r="E18"/>
  <c r="I20"/>
  <c r="F6"/>
  <c r="E8"/>
  <c r="G8"/>
  <c r="E10"/>
  <c r="G10"/>
  <c r="F13"/>
  <c r="E16"/>
  <c r="G16"/>
  <c r="E19"/>
  <c r="F20"/>
  <c r="I10" l="1"/>
  <c r="H10"/>
  <c r="F10"/>
  <c r="I8"/>
  <c r="H8"/>
  <c r="F8"/>
  <c r="H14"/>
  <c r="F14"/>
  <c r="I14"/>
  <c r="L13"/>
  <c r="J13"/>
  <c r="K13" s="1"/>
  <c r="N13" s="1"/>
  <c r="P14" s="1"/>
  <c r="L9"/>
  <c r="J9"/>
  <c r="K9" s="1"/>
  <c r="N9" s="1"/>
  <c r="P10" s="1"/>
  <c r="B7"/>
  <c r="G7" s="1"/>
  <c r="D8"/>
  <c r="K19"/>
  <c r="L19"/>
  <c r="J19"/>
  <c r="I16"/>
  <c r="H16"/>
  <c r="F16"/>
  <c r="L20"/>
  <c r="J20"/>
  <c r="K20"/>
  <c r="N19" s="1"/>
  <c r="P18" s="1"/>
  <c r="R16" s="1"/>
  <c r="H11"/>
  <c r="F11"/>
  <c r="I11"/>
  <c r="L6"/>
  <c r="J6"/>
  <c r="K6"/>
  <c r="L11" l="1"/>
  <c r="J11"/>
  <c r="K11"/>
  <c r="K16"/>
  <c r="L16"/>
  <c r="J16"/>
  <c r="D9"/>
  <c r="D10" s="1"/>
  <c r="B8"/>
  <c r="L14"/>
  <c r="J14"/>
  <c r="K14"/>
  <c r="K10"/>
  <c r="L10"/>
  <c r="J10"/>
  <c r="H7"/>
  <c r="F7"/>
  <c r="I7"/>
  <c r="K8"/>
  <c r="L8"/>
  <c r="J8"/>
  <c r="L7" l="1"/>
  <c r="J7"/>
  <c r="K7" s="1"/>
  <c r="N7" s="1"/>
  <c r="D11"/>
  <c r="B10"/>
  <c r="D12" l="1"/>
  <c r="B11"/>
  <c r="B12" l="1"/>
  <c r="G12" s="1"/>
  <c r="D13"/>
  <c r="D14" s="1"/>
  <c r="H12" l="1"/>
  <c r="F12"/>
  <c r="I12"/>
  <c r="B14"/>
  <c r="D15"/>
  <c r="B15" l="1"/>
  <c r="G15" s="1"/>
  <c r="D16"/>
  <c r="L12"/>
  <c r="J12"/>
  <c r="K12" s="1"/>
  <c r="N11" s="1"/>
  <c r="H15" l="1"/>
  <c r="F15"/>
  <c r="I15"/>
  <c r="D17"/>
  <c r="B16"/>
  <c r="D18" l="1"/>
  <c r="B17"/>
  <c r="G17" s="1"/>
  <c r="L15"/>
  <c r="J15"/>
  <c r="K15" s="1"/>
  <c r="N15" s="1"/>
  <c r="D19" l="1"/>
  <c r="B18"/>
  <c r="G18" s="1"/>
  <c r="I17"/>
  <c r="H17"/>
  <c r="F17"/>
  <c r="L17" l="1"/>
  <c r="J17"/>
  <c r="K17" s="1"/>
  <c r="N17" s="1"/>
  <c r="B19"/>
  <c r="D20"/>
  <c r="H18"/>
  <c r="F18"/>
  <c r="I18"/>
  <c r="L18" l="1"/>
  <c r="J18"/>
  <c r="K18" s="1"/>
</calcChain>
</file>

<file path=xl/sharedStrings.xml><?xml version="1.0" encoding="utf-8"?>
<sst xmlns="http://schemas.openxmlformats.org/spreadsheetml/2006/main" count="26" uniqueCount="23">
  <si>
    <t>α/α</t>
  </si>
  <si>
    <t>ByeOrder</t>
  </si>
  <si>
    <t>ByeSum</t>
  </si>
  <si>
    <t>ByeCnt</t>
  </si>
  <si>
    <t>από</t>
  </si>
  <si>
    <t>seed</t>
  </si>
  <si>
    <t>Pts</t>
  </si>
  <si>
    <t>Α.Μ.</t>
  </si>
  <si>
    <t>Ονοματεπώνυμο</t>
  </si>
  <si>
    <t>επώνυμο</t>
  </si>
  <si>
    <t>Σύλλογος</t>
  </si>
  <si>
    <t>4-1 4-0</t>
  </si>
  <si>
    <t>6-4 6-4</t>
  </si>
  <si>
    <t>2-4 4-0 7-4</t>
  </si>
  <si>
    <t>3-6 6-2 7-6 (6)</t>
  </si>
  <si>
    <t xml:space="preserve">  </t>
  </si>
  <si>
    <t>4-2 4-2</t>
  </si>
  <si>
    <t>6-2 6-3</t>
  </si>
  <si>
    <t>4-0 4-1</t>
  </si>
  <si>
    <t xml:space="preserve"> </t>
  </si>
  <si>
    <t>seeded players</t>
  </si>
  <si>
    <t>επιδιαιτητής</t>
  </si>
  <si>
    <t>BoldPlayers</t>
  </si>
</sst>
</file>

<file path=xl/styles.xml><?xml version="1.0" encoding="utf-8"?>
<styleSheet xmlns="http://schemas.openxmlformats.org/spreadsheetml/2006/main">
  <fonts count="32">
    <font>
      <sz val="10"/>
      <name val="Arial"/>
      <family val="2"/>
      <charset val="161"/>
    </font>
    <font>
      <b/>
      <sz val="12"/>
      <color indexed="10"/>
      <name val="Arial"/>
      <family val="2"/>
      <charset val="161"/>
    </font>
    <font>
      <sz val="10"/>
      <name val="Arial"/>
      <family val="2"/>
      <charset val="161"/>
    </font>
    <font>
      <b/>
      <u/>
      <sz val="14"/>
      <name val="Tahoma"/>
      <family val="2"/>
      <charset val="161"/>
    </font>
    <font>
      <b/>
      <u/>
      <sz val="13"/>
      <name val="Tahoma"/>
      <family val="2"/>
      <charset val="161"/>
    </font>
    <font>
      <b/>
      <sz val="13"/>
      <name val="Tahoma"/>
      <family val="2"/>
      <charset val="161"/>
    </font>
    <font>
      <sz val="13"/>
      <name val="Tahoma"/>
      <family val="2"/>
      <charset val="161"/>
    </font>
    <font>
      <sz val="8"/>
      <color indexed="55"/>
      <name val="Tahoma"/>
      <family val="2"/>
      <charset val="161"/>
    </font>
    <font>
      <sz val="8"/>
      <name val="Tahoma"/>
      <family val="2"/>
      <charset val="161"/>
    </font>
    <font>
      <sz val="8"/>
      <color indexed="23"/>
      <name val="Tahoma"/>
      <family val="2"/>
      <charset val="161"/>
    </font>
    <font>
      <sz val="6"/>
      <name val="Tahoma"/>
      <family val="2"/>
      <charset val="161"/>
    </font>
    <font>
      <u/>
      <sz val="8"/>
      <name val="Tahoma"/>
      <family val="2"/>
      <charset val="161"/>
    </font>
    <font>
      <u/>
      <sz val="6"/>
      <color indexed="55"/>
      <name val="Tahoma"/>
      <family val="2"/>
      <charset val="161"/>
    </font>
    <font>
      <u/>
      <sz val="8"/>
      <color indexed="55"/>
      <name val="Tahoma"/>
      <family val="2"/>
      <charset val="161"/>
    </font>
    <font>
      <b/>
      <sz val="6"/>
      <color indexed="12"/>
      <name val="Tahoma"/>
      <family val="2"/>
      <charset val="161"/>
    </font>
    <font>
      <b/>
      <sz val="6"/>
      <name val="Tahoma"/>
      <family val="2"/>
      <charset val="161"/>
    </font>
    <font>
      <b/>
      <sz val="8"/>
      <color indexed="12"/>
      <name val="Tahoma"/>
      <family val="2"/>
      <charset val="161"/>
    </font>
    <font>
      <sz val="6"/>
      <color indexed="55"/>
      <name val="Tahoma"/>
      <family val="2"/>
      <charset val="161"/>
    </font>
    <font>
      <sz val="7"/>
      <name val="Tahoma"/>
      <family val="2"/>
      <charset val="161"/>
    </font>
    <font>
      <b/>
      <sz val="8"/>
      <name val="Tahoma"/>
      <family val="2"/>
      <charset val="161"/>
    </font>
    <font>
      <b/>
      <sz val="9"/>
      <name val="Tahoma"/>
      <family val="2"/>
      <charset val="161"/>
    </font>
    <font>
      <sz val="9"/>
      <name val="Tahoma"/>
      <family val="2"/>
      <charset val="161"/>
    </font>
    <font>
      <i/>
      <sz val="7"/>
      <name val="Tahoma"/>
      <family val="2"/>
      <charset val="161"/>
    </font>
    <font>
      <b/>
      <i/>
      <u/>
      <sz val="7"/>
      <name val="Tahoma"/>
      <family val="2"/>
      <charset val="161"/>
    </font>
    <font>
      <b/>
      <i/>
      <sz val="7"/>
      <name val="Tahoma"/>
      <family val="2"/>
      <charset val="161"/>
    </font>
    <font>
      <i/>
      <sz val="7"/>
      <color indexed="55"/>
      <name val="Tahoma"/>
      <family val="2"/>
      <charset val="161"/>
    </font>
    <font>
      <b/>
      <i/>
      <u/>
      <sz val="7"/>
      <color indexed="18"/>
      <name val="Tahoma"/>
      <family val="2"/>
      <charset val="161"/>
    </font>
    <font>
      <i/>
      <u/>
      <sz val="7"/>
      <name val="Tahoma"/>
      <family val="2"/>
      <charset val="161"/>
    </font>
    <font>
      <sz val="8"/>
      <color indexed="22"/>
      <name val="Tahoma"/>
      <family val="2"/>
      <charset val="161"/>
    </font>
    <font>
      <b/>
      <i/>
      <u/>
      <sz val="7"/>
      <color indexed="22"/>
      <name val="Tahoma"/>
      <family val="2"/>
      <charset val="161"/>
    </font>
    <font>
      <i/>
      <sz val="7"/>
      <color indexed="22"/>
      <name val="Tahoma"/>
      <family val="2"/>
      <charset val="161"/>
    </font>
    <font>
      <sz val="9"/>
      <color indexed="22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4" fillId="0" borderId="0" xfId="0" quotePrefix="1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alignment vertical="center"/>
      <protection locked="0"/>
    </xf>
    <xf numFmtId="0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left" vertical="center"/>
      <protection locked="0"/>
    </xf>
    <xf numFmtId="0" fontId="10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NumberFormat="1" applyFont="1" applyFill="1" applyAlignment="1" applyProtection="1">
      <alignment horizontal="center" vertical="center"/>
      <protection locked="0"/>
    </xf>
    <xf numFmtId="0" fontId="15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0" fontId="17" fillId="3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Alignment="1" applyProtection="1">
      <alignment vertical="center"/>
      <protection locked="0"/>
    </xf>
    <xf numFmtId="0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left" vertical="center"/>
      <protection locked="0"/>
    </xf>
    <xf numFmtId="0" fontId="18" fillId="6" borderId="0" xfId="0" applyFont="1" applyFill="1" applyBorder="1" applyAlignment="1" applyProtection="1">
      <alignment horizontal="left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left" vertical="center"/>
      <protection locked="0"/>
    </xf>
    <xf numFmtId="0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21" fillId="2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/>
    </xf>
    <xf numFmtId="0" fontId="18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21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left" vertical="center"/>
    </xf>
    <xf numFmtId="0" fontId="8" fillId="0" borderId="7" xfId="0" applyNumberFormat="1" applyFont="1" applyFill="1" applyBorder="1" applyAlignment="1" applyProtection="1">
      <alignment horizontal="left" vertical="center"/>
      <protection locked="0"/>
    </xf>
    <xf numFmtId="0" fontId="17" fillId="3" borderId="4" xfId="0" applyNumberFormat="1" applyFont="1" applyFill="1" applyBorder="1" applyAlignment="1" applyProtection="1">
      <alignment horizontal="center" vertical="center"/>
      <protection locked="0"/>
    </xf>
    <xf numFmtId="0" fontId="17" fillId="3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6" borderId="0" xfId="0" quotePrefix="1" applyFont="1" applyFill="1" applyBorder="1" applyAlignment="1" applyProtection="1">
      <alignment horizontal="center" vertical="center"/>
      <protection locked="0"/>
    </xf>
    <xf numFmtId="0" fontId="7" fillId="0" borderId="8" xfId="0" applyNumberFormat="1" applyFont="1" applyFill="1" applyBorder="1" applyAlignment="1" applyProtection="1">
      <alignment vertical="center"/>
      <protection locked="0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8" fillId="7" borderId="5" xfId="0" quotePrefix="1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19" fillId="0" borderId="7" xfId="0" applyNumberFormat="1" applyFont="1" applyFill="1" applyBorder="1" applyAlignment="1" applyProtection="1">
      <alignment horizontal="left" vertical="center"/>
    </xf>
    <xf numFmtId="0" fontId="8" fillId="7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8" fillId="0" borderId="7" xfId="0" applyNumberFormat="1" applyFont="1" applyFill="1" applyBorder="1" applyAlignment="1" applyProtection="1">
      <alignment horizontal="left" vertical="center"/>
    </xf>
    <xf numFmtId="0" fontId="17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19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2" borderId="4" xfId="0" applyNumberFormat="1" applyFont="1" applyFill="1" applyBorder="1" applyAlignment="1" applyProtection="1">
      <alignment horizontal="center" vertical="center"/>
    </xf>
    <xf numFmtId="0" fontId="20" fillId="2" borderId="4" xfId="0" applyNumberFormat="1" applyFont="1" applyFill="1" applyBorder="1" applyAlignment="1" applyProtection="1">
      <alignment horizontal="left" vertical="center"/>
    </xf>
    <xf numFmtId="0" fontId="19" fillId="2" borderId="5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quotePrefix="1" applyNumberFormat="1" applyFont="1" applyFill="1" applyAlignment="1" applyProtection="1">
      <alignment vertical="center"/>
      <protection locked="0"/>
    </xf>
    <xf numFmtId="0" fontId="19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22" fillId="0" borderId="0" xfId="0" applyNumberFormat="1" applyFont="1" applyFill="1" applyAlignment="1" applyProtection="1">
      <alignment vertical="center"/>
      <protection locked="0"/>
    </xf>
    <xf numFmtId="0" fontId="22" fillId="0" borderId="0" xfId="0" applyNumberFormat="1" applyFont="1" applyFill="1" applyAlignment="1" applyProtection="1">
      <alignment horizontal="center" vertical="center"/>
      <protection locked="0"/>
    </xf>
    <xf numFmtId="0" fontId="22" fillId="0" borderId="0" xfId="0" applyNumberFormat="1" applyFont="1" applyFill="1" applyAlignment="1" applyProtection="1">
      <alignment horizontal="left" vertical="center"/>
      <protection locked="0"/>
    </xf>
    <xf numFmtId="0" fontId="23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NumberFormat="1" applyFont="1" applyFill="1" applyBorder="1" applyAlignment="1" applyProtection="1">
      <alignment horizontal="centerContinuous" vertical="center"/>
      <protection locked="0"/>
    </xf>
    <xf numFmtId="0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NumberFormat="1" applyFont="1" applyFill="1" applyAlignment="1" applyProtection="1">
      <alignment vertical="center"/>
      <protection locked="0"/>
    </xf>
    <xf numFmtId="0" fontId="22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NumberFormat="1" applyFont="1" applyFill="1" applyBorder="1" applyAlignment="1" applyProtection="1">
      <alignment vertical="center"/>
      <protection locked="0"/>
    </xf>
    <xf numFmtId="0" fontId="22" fillId="0" borderId="0" xfId="0" quotePrefix="1" applyNumberFormat="1" applyFont="1" applyFill="1" applyBorder="1" applyAlignment="1" applyProtection="1">
      <alignment vertical="center"/>
      <protection locked="0"/>
    </xf>
    <xf numFmtId="0" fontId="26" fillId="0" borderId="0" xfId="0" applyNumberFormat="1" applyFont="1" applyFill="1" applyBorder="1" applyAlignment="1" applyProtection="1">
      <alignment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NumberFormat="1" applyFont="1" applyFill="1" applyAlignment="1" applyProtection="1">
      <alignment vertical="center"/>
      <protection locked="0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0" borderId="0" xfId="0" quotePrefix="1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929;&#959;&#965;&#955;&#945;/&#917;&#960;&#953;&#966;&#940;&#957;&#949;&#953;&#945;%20&#949;&#961;&#947;&#945;&#963;&#943;&#945;&#962;/1o%20E3%20KALAMATA%20B16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DrawPrep"/>
      <sheetName val="Draw"/>
      <sheetName val="PrgPrep"/>
      <sheetName val="Day1"/>
      <sheetName val="Day2"/>
      <sheetName val="notes"/>
      <sheetName val="tables"/>
    </sheetNames>
    <definedNames>
      <definedName name="Sheet2pdf"/>
    </definedNames>
    <sheetDataSet>
      <sheetData sheetId="0">
        <row r="2">
          <cell r="E2">
            <v>3</v>
          </cell>
        </row>
        <row r="3">
          <cell r="B3" t="str">
            <v>ΣΤ' ΕΝΩΣΗ</v>
          </cell>
          <cell r="E3">
            <v>4</v>
          </cell>
        </row>
        <row r="4">
          <cell r="B4" t="str">
            <v>1ο Ε3</v>
          </cell>
        </row>
        <row r="6">
          <cell r="B6" t="str">
            <v>Ο.Α.ΚΑΛΑΜΑΤΑΣ</v>
          </cell>
        </row>
        <row r="7">
          <cell r="B7" t="str">
            <v>Α16</v>
          </cell>
        </row>
        <row r="8">
          <cell r="B8" t="str">
            <v>21</v>
          </cell>
        </row>
        <row r="9">
          <cell r="B9" t="str">
            <v>22 Φεβ 2015</v>
          </cell>
        </row>
        <row r="10">
          <cell r="B10" t="str">
            <v>Χρήστος Χριστόπουλος</v>
          </cell>
        </row>
        <row r="12">
          <cell r="G12">
            <v>0</v>
          </cell>
          <cell r="H12">
            <v>0</v>
          </cell>
        </row>
        <row r="13">
          <cell r="G13">
            <v>0</v>
          </cell>
          <cell r="H13">
            <v>0</v>
          </cell>
        </row>
        <row r="14">
          <cell r="G14">
            <v>0</v>
          </cell>
          <cell r="H14">
            <v>0</v>
          </cell>
        </row>
        <row r="15">
          <cell r="G15">
            <v>0</v>
          </cell>
          <cell r="H15">
            <v>0</v>
          </cell>
        </row>
        <row r="16">
          <cell r="G16">
            <v>0</v>
          </cell>
          <cell r="H16">
            <v>0</v>
          </cell>
        </row>
        <row r="17">
          <cell r="G17">
            <v>0</v>
          </cell>
          <cell r="H17">
            <v>0</v>
          </cell>
        </row>
        <row r="18">
          <cell r="B18">
            <v>7</v>
          </cell>
          <cell r="G18">
            <v>0</v>
          </cell>
          <cell r="H18">
            <v>0</v>
          </cell>
        </row>
        <row r="19">
          <cell r="B19">
            <v>4</v>
          </cell>
          <cell r="G19">
            <v>1</v>
          </cell>
          <cell r="H19">
            <v>1</v>
          </cell>
        </row>
        <row r="20">
          <cell r="G20">
            <v>2</v>
          </cell>
          <cell r="H20">
            <v>2</v>
          </cell>
        </row>
        <row r="21">
          <cell r="G21">
            <v>3</v>
          </cell>
          <cell r="H21">
            <v>3</v>
          </cell>
        </row>
        <row r="22">
          <cell r="G22">
            <v>4</v>
          </cell>
          <cell r="H22">
            <v>4</v>
          </cell>
        </row>
        <row r="23">
          <cell r="G23">
            <v>5</v>
          </cell>
          <cell r="H23">
            <v>9</v>
          </cell>
        </row>
        <row r="24">
          <cell r="B24" t="str">
            <v>ok</v>
          </cell>
          <cell r="G24">
            <v>6</v>
          </cell>
          <cell r="H24">
            <v>6</v>
          </cell>
        </row>
        <row r="25">
          <cell r="G25">
            <v>7</v>
          </cell>
          <cell r="H25">
            <v>5</v>
          </cell>
        </row>
        <row r="26">
          <cell r="G26">
            <v>8</v>
          </cell>
          <cell r="H26">
            <v>7</v>
          </cell>
        </row>
        <row r="27">
          <cell r="G27">
            <v>9</v>
          </cell>
          <cell r="H27">
            <v>8</v>
          </cell>
        </row>
      </sheetData>
      <sheetData sheetId="1">
        <row r="3">
          <cell r="A3">
            <v>1</v>
          </cell>
          <cell r="C3" t="str">
            <v>ΑΛ/102</v>
          </cell>
          <cell r="D3" t="str">
            <v>ΤΣΙΚΟΒ ΑΛΕΞΑΝΔΡΟΣ</v>
          </cell>
          <cell r="E3" t="str">
            <v>Ζ.Α.Ο.Α.</v>
          </cell>
          <cell r="F3">
            <v>314</v>
          </cell>
        </row>
        <row r="4">
          <cell r="A4">
            <v>2</v>
          </cell>
          <cell r="C4">
            <v>28575</v>
          </cell>
          <cell r="D4" t="str">
            <v>ΨΑΡΙΑΔΗΣ ΜΙΧΑΛΗΣ</v>
          </cell>
          <cell r="E4" t="str">
            <v>Ο.Α. ΑΙΓΙΑΛΕΙΑΣ</v>
          </cell>
          <cell r="F4">
            <v>165</v>
          </cell>
        </row>
        <row r="5">
          <cell r="A5">
            <v>3</v>
          </cell>
          <cell r="C5">
            <v>30611</v>
          </cell>
          <cell r="D5" t="str">
            <v>ΚΑΡΕΛΑΣ ΠΑΝΑΓΙΩΤΗΣ</v>
          </cell>
          <cell r="E5" t="str">
            <v>Ο.Α. ΚΑΛΑΜΑΤΑΣ</v>
          </cell>
          <cell r="F5">
            <v>150</v>
          </cell>
        </row>
        <row r="6">
          <cell r="A6">
            <v>4</v>
          </cell>
          <cell r="C6">
            <v>32097</v>
          </cell>
          <cell r="D6" t="str">
            <v>ΤΣΑΡΠΑΛΗΣ ΗΛΙΑΣ</v>
          </cell>
          <cell r="E6" t="str">
            <v>Ο.Α. ΑΙΓΙΑΛΕΙΑΣ</v>
          </cell>
          <cell r="F6">
            <v>61</v>
          </cell>
        </row>
        <row r="7">
          <cell r="A7">
            <v>5</v>
          </cell>
          <cell r="C7">
            <v>29964</v>
          </cell>
          <cell r="D7" t="str">
            <v>ΚΑΡΑΓΙΑΝΝΗΣ ΠΑΝΤΕΛΗΣ</v>
          </cell>
          <cell r="E7" t="str">
            <v>Α.Ε.Τ. ΝΙΚΗ ΠΑΤΡΩΝ</v>
          </cell>
          <cell r="F7">
            <v>0</v>
          </cell>
        </row>
        <row r="8">
          <cell r="A8">
            <v>6</v>
          </cell>
          <cell r="C8">
            <v>27108</v>
          </cell>
          <cell r="D8" t="str">
            <v>ΔΕΛΗΣ ΚΩΝΣΤΑΝΤΙΝΟΣ</v>
          </cell>
          <cell r="E8" t="str">
            <v>Α.Ε.Κ. ΤΡΙΠΟΛΗΣ</v>
          </cell>
          <cell r="F8">
            <v>32</v>
          </cell>
        </row>
        <row r="9">
          <cell r="A9">
            <v>7</v>
          </cell>
          <cell r="C9">
            <v>29952</v>
          </cell>
          <cell r="D9" t="str">
            <v>ΚΑΝΕΛΛΟΠΟΥΛΟΣ ΠΕΤΡΟΣ</v>
          </cell>
          <cell r="E9" t="str">
            <v>Α.Ε.Κ. ΤΡΙΠΟΛΗΣ</v>
          </cell>
          <cell r="F9">
            <v>14</v>
          </cell>
        </row>
        <row r="10">
          <cell r="A10">
            <v>8</v>
          </cell>
          <cell r="C10">
            <v>34634</v>
          </cell>
          <cell r="D10" t="str">
            <v>ΛΥΜΠΕΡΟΠΟΥΛΟΣ ΧΡΥΣΑΝΘΟΣ</v>
          </cell>
          <cell r="E10" t="str">
            <v>Ο.Α. ΚΑΛΑΜΑΤΑΣ</v>
          </cell>
          <cell r="F10">
            <v>8</v>
          </cell>
        </row>
        <row r="11">
          <cell r="A11">
            <v>9</v>
          </cell>
          <cell r="C11">
            <v>32877</v>
          </cell>
          <cell r="D11" t="str">
            <v>ΚΟΥΣΤΕΝΗΣ ΚΩΝΣΤΑΝΤΙΝΟΣ</v>
          </cell>
          <cell r="E11" t="str">
            <v>Ο.Α. ΣΥΚΙΩΝΟΣ ΚΙΑΤΟΥ</v>
          </cell>
          <cell r="F11">
            <v>6</v>
          </cell>
        </row>
        <row r="12">
          <cell r="A12">
            <v>10</v>
          </cell>
          <cell r="D12" t="str">
            <v/>
          </cell>
        </row>
        <row r="13">
          <cell r="A13">
            <v>11</v>
          </cell>
          <cell r="D13" t="str">
            <v/>
          </cell>
        </row>
        <row r="14">
          <cell r="A14">
            <v>12</v>
          </cell>
          <cell r="D14" t="str">
            <v/>
          </cell>
        </row>
        <row r="15">
          <cell r="A15">
            <v>13</v>
          </cell>
          <cell r="D15" t="str">
            <v/>
          </cell>
        </row>
        <row r="16">
          <cell r="A16">
            <v>14</v>
          </cell>
          <cell r="D16" t="str">
            <v/>
          </cell>
        </row>
        <row r="17">
          <cell r="A17">
            <v>15</v>
          </cell>
          <cell r="D17" t="str">
            <v/>
          </cell>
        </row>
        <row r="18">
          <cell r="A18">
            <v>16</v>
          </cell>
          <cell r="D18" t="str">
            <v/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FF00"/>
    <pageSetUpPr fitToPage="1"/>
  </sheetPr>
  <dimension ref="A1:S48"/>
  <sheetViews>
    <sheetView showGridLines="0" showZeros="0" tabSelected="1" zoomScale="115" zoomScaleNormal="115" workbookViewId="0">
      <pane ySplit="1" topLeftCell="A2" activePane="bottomLeft" state="frozen"/>
      <selection pane="bottomLeft" activeCell="P24" sqref="P24"/>
    </sheetView>
  </sheetViews>
  <sheetFormatPr defaultColWidth="5.140625" defaultRowHeight="10.5"/>
  <cols>
    <col min="1" max="1" width="2.42578125" style="9" bestFit="1" customWidth="1"/>
    <col min="2" max="2" width="2.7109375" style="9" hidden="1" customWidth="1"/>
    <col min="3" max="3" width="7" style="12" hidden="1" customWidth="1"/>
    <col min="4" max="4" width="5.85546875" style="13" hidden="1" customWidth="1"/>
    <col min="5" max="5" width="5.42578125" style="13" hidden="1" customWidth="1"/>
    <col min="6" max="6" width="3" style="9" customWidth="1"/>
    <col min="7" max="7" width="3.42578125" style="12" bestFit="1" customWidth="1"/>
    <col min="8" max="8" width="4.7109375" style="12" customWidth="1"/>
    <col min="9" max="9" width="6" style="14" bestFit="1" customWidth="1"/>
    <col min="10" max="10" width="30.7109375" style="9" customWidth="1"/>
    <col min="11" max="11" width="20.5703125" style="9" hidden="1" customWidth="1"/>
    <col min="12" max="12" width="20.7109375" style="9" customWidth="1"/>
    <col min="13" max="13" width="1.5703125" style="92" bestFit="1" customWidth="1"/>
    <col min="14" max="14" width="15.7109375" style="9" customWidth="1"/>
    <col min="15" max="15" width="1.5703125" style="43" bestFit="1" customWidth="1"/>
    <col min="16" max="16" width="15.7109375" style="9" customWidth="1"/>
    <col min="17" max="17" width="1.5703125" style="43" bestFit="1" customWidth="1"/>
    <col min="18" max="18" width="15.7109375" style="95" customWidth="1"/>
    <col min="19" max="19" width="0.85546875" style="41" customWidth="1"/>
    <col min="20" max="16384" width="5.140625" style="9"/>
  </cols>
  <sheetData>
    <row r="1" spans="1:19" s="5" customFormat="1" ht="18">
      <c r="A1" s="1" t="str">
        <f>[1]Setup!B3 &amp; ", " &amp; [1]Setup!B4 &amp; ", " &amp; [1]Setup!B6 &amp; ", " &amp; [1]Setup!B8 &amp; "-" &amp; [1]Setup!B9</f>
        <v>ΣΤ' ΕΝΩΣΗ, 1ο Ε3, Ο.Α.ΚΑΛΑΜΑΤΑΣ, 21-22 Φεβ 2015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3" t="str">
        <f>[1]Setup!B7</f>
        <v>Α16</v>
      </c>
      <c r="S1" s="4"/>
    </row>
    <row r="2" spans="1:19">
      <c r="A2" s="6"/>
      <c r="B2" s="7">
        <f>[1]Setup!$B$18</f>
        <v>7</v>
      </c>
      <c r="C2" s="7"/>
      <c r="D2" s="8"/>
      <c r="E2" s="8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</row>
    <row r="3" spans="1:19">
      <c r="J3" s="15">
        <v>16</v>
      </c>
      <c r="K3" s="15"/>
      <c r="L3" s="15"/>
      <c r="M3" s="16"/>
      <c r="N3" s="17">
        <v>8</v>
      </c>
      <c r="O3" s="18"/>
      <c r="P3" s="17">
        <v>4</v>
      </c>
      <c r="Q3" s="18"/>
      <c r="R3" s="19">
        <v>2</v>
      </c>
      <c r="S3" s="20"/>
    </row>
    <row r="4" spans="1:19" s="12" customFormat="1">
      <c r="A4" s="21" t="s">
        <v>0</v>
      </c>
      <c r="B4" s="22"/>
      <c r="C4" s="23" t="s">
        <v>1</v>
      </c>
      <c r="D4" s="23" t="s">
        <v>2</v>
      </c>
      <c r="E4" s="23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4" t="s">
        <v>8</v>
      </c>
      <c r="K4" s="23" t="s">
        <v>9</v>
      </c>
      <c r="L4" s="24" t="s">
        <v>10</v>
      </c>
      <c r="M4" s="25"/>
      <c r="O4" s="26"/>
      <c r="Q4" s="26"/>
      <c r="R4" s="27"/>
      <c r="S4" s="7"/>
    </row>
    <row r="5" spans="1:19" ht="12" customHeight="1">
      <c r="A5" s="28">
        <v>1</v>
      </c>
      <c r="B5" s="29">
        <v>1</v>
      </c>
      <c r="C5" s="30"/>
      <c r="D5" s="31"/>
      <c r="E5" s="32">
        <v>0</v>
      </c>
      <c r="F5" s="33">
        <f>IF(NOT($G5="-"),VLOOKUP($G5,[1]DrawPrep!$A$3:$G$18,2,FALSE),"")</f>
        <v>0</v>
      </c>
      <c r="G5" s="34">
        <f>VLOOKUP($B5,[1]Setup!$G$12:$H$27,2,FALSE)</f>
        <v>1</v>
      </c>
      <c r="H5" s="35">
        <f>IF($G5&gt;0,VLOOKUP($G5,[1]DrawPrep!$A$3:$G$18,6,FALSE),0)</f>
        <v>314</v>
      </c>
      <c r="I5" s="36" t="str">
        <f>IF([1]Setup!$B$24="#",0,IF($G5&gt;0,VLOOKUP($G5,[1]DrawPrep!$A$3:$G$18,3,FALSE),0))</f>
        <v>ΑΛ/102</v>
      </c>
      <c r="J5" s="37" t="str">
        <f>IF($I5&gt;0,VLOOKUP($I5,[1]DrawPrep!$C$3:$G$18,2,FALSE),"bye")</f>
        <v>ΤΣΙΚΟΒ ΑΛΕΞΑΝΔΡΟΣ</v>
      </c>
      <c r="K5" s="37" t="str">
        <f>IF(NOT(I5&gt;0),"", IF(ISERROR(FIND("-",J5)), LEFT(J5,FIND(" ",J5)-1), IF(FIND("-",J5)&gt;FIND(" ",J5),LEFT(J5,FIND(" ",J5)-1), LEFT(J5,FIND("-",J5)-1) )))</f>
        <v>ΤΣΙΚΟΒ</v>
      </c>
      <c r="L5" s="38" t="str">
        <f>IF($I5&gt;0,VLOOKUP($I5,[1]DrawPrep!$C$3:$G$18,3,FALSE),"")</f>
        <v>Ζ.Α.Ο.Α.</v>
      </c>
      <c r="M5" s="39">
        <v>1</v>
      </c>
      <c r="N5" s="40" t="str">
        <f>UPPER(IF($A$2="R",IF(OR(M5=1,M5="a"),I5,IF(OR(M5=2,M5="b"),I6,"")),IF(OR(M5=1,M5="1"),K5,IF(OR(M5=2,M5="b"),K6,""))))</f>
        <v>ΤΣΙΚΟΒ</v>
      </c>
      <c r="O5" s="41"/>
      <c r="P5" s="42"/>
      <c r="R5" s="42"/>
    </row>
    <row r="6" spans="1:19" ht="12" customHeight="1">
      <c r="A6" s="44">
        <v>2</v>
      </c>
      <c r="B6" s="45">
        <f>1-D6+4</f>
        <v>4</v>
      </c>
      <c r="C6" s="46">
        <v>1</v>
      </c>
      <c r="D6" s="47">
        <f>E6</f>
        <v>1</v>
      </c>
      <c r="E6" s="48">
        <f>IF($B$2&gt;=C6,1,0)</f>
        <v>1</v>
      </c>
      <c r="F6" s="49" t="str">
        <f>IF(NOT($G6="-"),VLOOKUP($G6,[1]DrawPrep!$A$3:$G$18,2,FALSE),"")</f>
        <v/>
      </c>
      <c r="G6" s="49" t="str">
        <f>IF($B$2&gt;=C6,"-",VLOOKUP($B6,[1]Setup!$G$12:$H$27,2,FALSE))</f>
        <v>-</v>
      </c>
      <c r="H6" s="50">
        <f>IF(NOT($G6="-"),VLOOKUP($G6,[1]DrawPrep!$A$3:$G$18,6,FALSE),0)</f>
        <v>0</v>
      </c>
      <c r="I6" s="50">
        <f>IF([1]Setup!$B$24="#",0,IF(NOT($G6="-"),VLOOKUP($G6,[1]DrawPrep!$A$3:$G$18,3,FALSE),0))</f>
        <v>0</v>
      </c>
      <c r="J6" s="51" t="str">
        <f>IF($I6&gt;0,VLOOKUP($I6,[1]DrawPrep!$C$3:$G$18,2,FALSE),"bye")</f>
        <v>bye</v>
      </c>
      <c r="K6" s="51" t="str">
        <f t="shared" ref="K6:K20" si="0">IF(NOT(I6&gt;0),"", IF(ISERROR(FIND("-",J6)), LEFT(J6,FIND(" ",J6)-1), IF(FIND("-",J6)&gt;FIND(" ",J6),LEFT(J6,FIND(" ",J6)-1), LEFT(J6,FIND("-",J6)-1) )))</f>
        <v/>
      </c>
      <c r="L6" s="52" t="str">
        <f>IF($I6&gt;0,VLOOKUP($I6,[1]DrawPrep!$C$3:$G$18,3,FALSE),"")</f>
        <v/>
      </c>
      <c r="M6" s="53"/>
      <c r="N6" s="54"/>
      <c r="O6" s="39">
        <v>1</v>
      </c>
      <c r="P6" s="40" t="str">
        <f>UPPER(IF($A$2="R",IF(OR(O6=1,O6="a"),N5,IF(OR(O6=2,O6="b"),N7,"")),IF(OR(O6=1,O6="a"),N5,IF(OR(O6=2,O6="b"),N7,""))))</f>
        <v>ΤΣΙΚΟΒ</v>
      </c>
      <c r="Q6" s="41"/>
      <c r="R6" s="42"/>
    </row>
    <row r="7" spans="1:19" ht="12" customHeight="1">
      <c r="A7" s="55">
        <v>3</v>
      </c>
      <c r="B7" s="45">
        <f>2-D7+4</f>
        <v>5</v>
      </c>
      <c r="C7" s="56"/>
      <c r="D7" s="47">
        <f t="shared" ref="D7:D20" si="1">D6+E7</f>
        <v>1</v>
      </c>
      <c r="E7" s="57">
        <v>0</v>
      </c>
      <c r="F7" s="58">
        <f>IF(NOT($G7="-"),VLOOKUP($G7,[1]DrawPrep!$A$3:$G$18,2,FALSE),"")</f>
        <v>0</v>
      </c>
      <c r="G7" s="58">
        <f>VLOOKUP($B7,[1]Setup!$G$12:$H$27,2,FALSE)</f>
        <v>9</v>
      </c>
      <c r="H7" s="59">
        <f>IF($G7&gt;0,VLOOKUP($G7,[1]DrawPrep!$A$3:$G$18,6,FALSE),0)</f>
        <v>6</v>
      </c>
      <c r="I7" s="59">
        <f>IF([1]Setup!$B$24="#",0,IF($G7&gt;0,VLOOKUP($G7,[1]DrawPrep!$A$3:$G$18,3,FALSE),0))</f>
        <v>32877</v>
      </c>
      <c r="J7" s="60" t="str">
        <f>IF($I7&gt;0,VLOOKUP($I7,[1]DrawPrep!$C$3:$G$18,2,FALSE),"bye")</f>
        <v>ΚΟΥΣΤΕΝΗΣ ΚΩΝΣΤΑΝΤΙΝΟΣ</v>
      </c>
      <c r="K7" s="60" t="str">
        <f t="shared" si="0"/>
        <v>ΚΟΥΣΤΕΝΗΣ</v>
      </c>
      <c r="L7" s="61" t="str">
        <f>IF($I7&gt;0,VLOOKUP($I7,[1]DrawPrep!$C$3:$G$18,3,FALSE),"")</f>
        <v>Ο.Α. ΣΥΚΙΩΝΟΣ ΚΙΑΤΟΥ</v>
      </c>
      <c r="M7" s="39">
        <v>1</v>
      </c>
      <c r="N7" s="40" t="str">
        <f>UPPER(IF($A$2="R",IF(OR(M7=1,M7="a"),I7,IF(OR(M7=2,M7="b"),I8,"")),IF(OR(M7=1,M7="a"),K7,IF(OR(M7=2,M7="b"),K8,""))))</f>
        <v>ΚΟΥΣΤΕΝΗΣ</v>
      </c>
      <c r="O7" s="53"/>
      <c r="P7" s="54" t="s">
        <v>11</v>
      </c>
      <c r="Q7" s="41"/>
      <c r="R7" s="42"/>
    </row>
    <row r="8" spans="1:19" ht="12" customHeight="1">
      <c r="A8" s="62">
        <v>4</v>
      </c>
      <c r="B8" s="45">
        <f>3-D8+4</f>
        <v>5</v>
      </c>
      <c r="C8" s="46">
        <v>7</v>
      </c>
      <c r="D8" s="47">
        <f t="shared" si="1"/>
        <v>2</v>
      </c>
      <c r="E8" s="48">
        <f>IF($B$2&gt;=C8,1,0)</f>
        <v>1</v>
      </c>
      <c r="F8" s="63" t="str">
        <f>IF(NOT($G8="-"),VLOOKUP($G8,[1]DrawPrep!$A$3:$G$18,2,FALSE),"")</f>
        <v/>
      </c>
      <c r="G8" s="63" t="str">
        <f>IF($B$2&gt;=C8,"-",VLOOKUP($B8,[1]Setup!$G$12:$H$27,2,FALSE))</f>
        <v>-</v>
      </c>
      <c r="H8" s="64">
        <f>IF(NOT($G8="-"),VLOOKUP($G8,[1]DrawPrep!$A$3:$G$18,6,FALSE),0)</f>
        <v>0</v>
      </c>
      <c r="I8" s="64">
        <f>IF([1]Setup!$B$24="#",0,IF(NOT($G8="-"),VLOOKUP($G8,[1]DrawPrep!$A$3:$G$18,3,FALSE),0))</f>
        <v>0</v>
      </c>
      <c r="J8" s="65" t="str">
        <f>IF($I8&gt;0,VLOOKUP($I8,[1]DrawPrep!$C$3:$G$18,2,FALSE),"bye")</f>
        <v>bye</v>
      </c>
      <c r="K8" s="65" t="str">
        <f t="shared" si="0"/>
        <v/>
      </c>
      <c r="L8" s="66" t="str">
        <f>IF($I8&gt;0,VLOOKUP($I8,[1]DrawPrep!$C$3:$G$18,3,FALSE),"")</f>
        <v/>
      </c>
      <c r="M8" s="53"/>
      <c r="N8" s="13"/>
      <c r="O8" s="41"/>
      <c r="P8" s="67"/>
      <c r="Q8" s="68">
        <v>1</v>
      </c>
      <c r="R8" s="50" t="str">
        <f>UPPER(IF($A$2="R",IF(OR(Q8=1,Q8="a"),P6,IF(OR(Q8=2,Q8="b"),P10,"")),IF(OR(Q8=1,Q8="a"),P6,IF(OR(Q8=2,Q8="b"),P10,""))))</f>
        <v>ΤΣΙΚΟΒ</v>
      </c>
    </row>
    <row r="9" spans="1:19" ht="12" customHeight="1">
      <c r="A9" s="28">
        <v>5</v>
      </c>
      <c r="B9" s="29">
        <f>VALUE([1]Setup!E2)</f>
        <v>3</v>
      </c>
      <c r="C9" s="56"/>
      <c r="D9" s="47">
        <f t="shared" si="1"/>
        <v>2</v>
      </c>
      <c r="E9" s="57">
        <v>0</v>
      </c>
      <c r="F9" s="33">
        <f>IF(NOT($G9="-"),VLOOKUP($G9,[1]DrawPrep!$A$3:$G$18,2,FALSE),"")</f>
        <v>0</v>
      </c>
      <c r="G9" s="34">
        <f>VLOOKUP($B9,[1]Setup!$G$12:$H$27,2,FALSE)</f>
        <v>3</v>
      </c>
      <c r="H9" s="35">
        <f>IF($G9&gt;0,VLOOKUP($G9,[1]DrawPrep!$A$3:$G$18,6,FALSE),0)</f>
        <v>150</v>
      </c>
      <c r="I9" s="36">
        <f>IF([1]Setup!$B$24="#",0,IF($G9&gt;0,VLOOKUP($G9,[1]DrawPrep!$A$3:$G$18,3,FALSE),0))</f>
        <v>30611</v>
      </c>
      <c r="J9" s="37" t="str">
        <f>IF($I9&gt;0,VLOOKUP($I9,[1]DrawPrep!$C$3:$G$18,2,FALSE),"bye")</f>
        <v>ΚΑΡΕΛΑΣ ΠΑΝΑΓΙΩΤΗΣ</v>
      </c>
      <c r="K9" s="37" t="str">
        <f t="shared" si="0"/>
        <v>ΚΑΡΕΛΑΣ</v>
      </c>
      <c r="L9" s="38" t="str">
        <f>IF($I9&gt;0,VLOOKUP($I9,[1]DrawPrep!$C$3:$G$18,3,FALSE),"")</f>
        <v>Ο.Α. ΚΑΛΑΜΑΤΑΣ</v>
      </c>
      <c r="M9" s="69">
        <v>1</v>
      </c>
      <c r="N9" s="40" t="str">
        <f>UPPER(IF($A$2="R",IF(OR(M9=1,M9="a"),I9,IF(OR(M9=2,M9="b"),I10,"")),IF(OR(M9=1,M9="a"),K9,IF(OR(M9=2,M9="b"),K10,""))))</f>
        <v>ΚΑΡΕΛΑΣ</v>
      </c>
      <c r="O9" s="41"/>
      <c r="P9" s="67"/>
      <c r="Q9" s="41"/>
      <c r="R9" s="70" t="s">
        <v>12</v>
      </c>
    </row>
    <row r="10" spans="1:19" ht="12" customHeight="1">
      <c r="A10" s="44">
        <v>6</v>
      </c>
      <c r="B10" s="45">
        <f>4-D10+4</f>
        <v>5</v>
      </c>
      <c r="C10" s="71">
        <f>IF([1]Setup!E2=3,3,4)</f>
        <v>3</v>
      </c>
      <c r="D10" s="47">
        <f t="shared" si="1"/>
        <v>3</v>
      </c>
      <c r="E10" s="48">
        <f>IF($B$2&gt;=C10,1,0)</f>
        <v>1</v>
      </c>
      <c r="F10" s="49" t="str">
        <f>IF(NOT($G10="-"),VLOOKUP($G10,[1]DrawPrep!$A$3:$G$18,2,FALSE),"")</f>
        <v/>
      </c>
      <c r="G10" s="49" t="str">
        <f>IF($B$2&gt;=C10,"-",VLOOKUP($B10,[1]Setup!$G$12:$H$27,2,FALSE))</f>
        <v>-</v>
      </c>
      <c r="H10" s="50">
        <f>IF(NOT($G10="-"),VLOOKUP($G10,[1]DrawPrep!$A$3:$G$18,6,FALSE),0)</f>
        <v>0</v>
      </c>
      <c r="I10" s="50">
        <f>IF([1]Setup!$B$24="#",0,IF(NOT($G10="-"),VLOOKUP($G10,[1]DrawPrep!$A$3:$G$18,3,FALSE),0))</f>
        <v>0</v>
      </c>
      <c r="J10" s="51" t="str">
        <f>IF($I10&gt;0,VLOOKUP($I10,[1]DrawPrep!$C$3:$G$18,2,FALSE),"bye")</f>
        <v>bye</v>
      </c>
      <c r="K10" s="51" t="str">
        <f t="shared" si="0"/>
        <v/>
      </c>
      <c r="L10" s="52" t="str">
        <f>IF($I10&gt;0,VLOOKUP($I10,[1]DrawPrep!$C$3:$G$18,3,FALSE),"")</f>
        <v/>
      </c>
      <c r="M10" s="53"/>
      <c r="N10" s="54"/>
      <c r="O10" s="39">
        <v>1</v>
      </c>
      <c r="P10" s="40" t="str">
        <f>UPPER(IF($A$2="R",IF(OR(O10=1,O10="a"),N9,IF(OR(O10=2,O10="b"),N11,"")),IF(OR(O10=1,O10="a"),N9,IF(OR(O10=2,O10="b"),N11,""))))</f>
        <v>ΚΑΡΕΛΑΣ</v>
      </c>
      <c r="Q10" s="72"/>
      <c r="R10" s="73"/>
    </row>
    <row r="11" spans="1:19" ht="12" customHeight="1">
      <c r="A11" s="55">
        <v>7</v>
      </c>
      <c r="B11" s="45">
        <f>5-D11+4</f>
        <v>5</v>
      </c>
      <c r="C11" s="46">
        <v>5</v>
      </c>
      <c r="D11" s="47">
        <f t="shared" si="1"/>
        <v>4</v>
      </c>
      <c r="E11" s="48">
        <f>IF($B$2&gt;=C11,1,0)</f>
        <v>1</v>
      </c>
      <c r="F11" s="58" t="str">
        <f>IF(NOT($G11="-"),VLOOKUP($G11,[1]DrawPrep!$A$3:$G$18,2,FALSE),"")</f>
        <v/>
      </c>
      <c r="G11" s="58" t="str">
        <f>IF($B$2&gt;=C11,"-",VLOOKUP($B11,[1]Setup!$G$12:$H$27,2,FALSE))</f>
        <v>-</v>
      </c>
      <c r="H11" s="59">
        <f>IF(NOT($G11="-"),VLOOKUP($G11,[1]DrawPrep!$A$3:$G$18,6,FALSE),0)</f>
        <v>0</v>
      </c>
      <c r="I11" s="59">
        <f>IF([1]Setup!$B$24="#",0,IF(NOT($G11="-"),VLOOKUP($G11,[1]DrawPrep!$A$3:$G$18,3,FALSE),0))</f>
        <v>0</v>
      </c>
      <c r="J11" s="60" t="str">
        <f>IF($I11&gt;0,VLOOKUP($I11,[1]DrawPrep!$C$3:$G$18,2,FALSE),"bye")</f>
        <v>bye</v>
      </c>
      <c r="K11" s="60" t="str">
        <f t="shared" si="0"/>
        <v/>
      </c>
      <c r="L11" s="61" t="str">
        <f>IF($I11&gt;0,VLOOKUP($I11,[1]DrawPrep!$C$3:$G$18,3,FALSE),"")</f>
        <v/>
      </c>
      <c r="M11" s="39">
        <v>2</v>
      </c>
      <c r="N11" s="40" t="str">
        <f>UPPER(IF($A$2="R",IF(OR(M11=1,M11="a"),I11,IF(OR(M11=2,M11="b"),I12,"")),IF(OR(M11=1,M11="a"),K11,IF(OR(M11=2,M11="b"),K12,""))))</f>
        <v>ΔΕΛΗΣ</v>
      </c>
      <c r="O11" s="53"/>
      <c r="P11" s="74" t="s">
        <v>13</v>
      </c>
      <c r="Q11" s="41"/>
      <c r="R11" s="73"/>
    </row>
    <row r="12" spans="1:19" ht="12" customHeight="1">
      <c r="A12" s="62">
        <v>8</v>
      </c>
      <c r="B12" s="45">
        <f>6-D12+4</f>
        <v>6</v>
      </c>
      <c r="C12" s="56"/>
      <c r="D12" s="47">
        <f t="shared" si="1"/>
        <v>4</v>
      </c>
      <c r="E12" s="57">
        <v>0</v>
      </c>
      <c r="F12" s="63">
        <f>IF(NOT($G12="-"),VLOOKUP($G12,[1]DrawPrep!$A$3:$G$18,2,FALSE),"")</f>
        <v>0</v>
      </c>
      <c r="G12" s="75">
        <f>VLOOKUP($B12,[1]Setup!$G$12:$H$27,2,FALSE)</f>
        <v>6</v>
      </c>
      <c r="H12" s="64">
        <f>IF($G12&gt;0,VLOOKUP($G12,[1]DrawPrep!$A$3:$G$18,6,FALSE),0)</f>
        <v>32</v>
      </c>
      <c r="I12" s="64">
        <f>IF([1]Setup!$B$24="#",0,IF($G12&gt;0,VLOOKUP($G12,[1]DrawPrep!$A$3:$G$18,3,FALSE),0))</f>
        <v>27108</v>
      </c>
      <c r="J12" s="65" t="str">
        <f>IF($I12&gt;0,VLOOKUP($I12,[1]DrawPrep!$C$3:$G$18,2,FALSE),"bye")</f>
        <v>ΔΕΛΗΣ ΚΩΝΣΤΑΝΤΙΝΟΣ</v>
      </c>
      <c r="K12" s="65" t="str">
        <f t="shared" si="0"/>
        <v>ΔΕΛΗΣ</v>
      </c>
      <c r="L12" s="66" t="str">
        <f>IF($I12&gt;0,VLOOKUP($I12,[1]DrawPrep!$C$3:$G$18,3,FALSE),"")</f>
        <v>Α.Ε.Κ. ΤΡΙΠΟΛΗΣ</v>
      </c>
      <c r="M12" s="53"/>
      <c r="N12" s="74"/>
      <c r="P12" s="42"/>
      <c r="Q12" s="68">
        <v>1</v>
      </c>
      <c r="R12" s="76" t="str">
        <f>UPPER(IF($A$2="R",IF(OR(Q12=1,Q12="a"),R8,IF(OR(Q12=2,Q12="b"),R16,"")),IF(OR(Q12=1,Q12="a"),R8,IF(OR(Q12=2,Q12="b"),R16,""))))</f>
        <v>ΤΣΙΚΟΒ</v>
      </c>
      <c r="S12" s="72"/>
    </row>
    <row r="13" spans="1:19" ht="12" customHeight="1">
      <c r="A13" s="77">
        <v>9</v>
      </c>
      <c r="B13" s="29">
        <f>VALUE([1]Setup!E3)</f>
        <v>4</v>
      </c>
      <c r="C13" s="56"/>
      <c r="D13" s="47">
        <f t="shared" si="1"/>
        <v>4</v>
      </c>
      <c r="E13" s="57">
        <v>0</v>
      </c>
      <c r="F13" s="27">
        <f>IF(NOT($G13="-"),VLOOKUP($G13,[1]DrawPrep!$A$3:$G$18,2,FALSE),"")</f>
        <v>0</v>
      </c>
      <c r="G13" s="78">
        <f>VLOOKUP($B13,[1]Setup!$G$12:$H$27,2,FALSE)</f>
        <v>4</v>
      </c>
      <c r="H13" s="79">
        <f>IF($G13&gt;0,VLOOKUP($G13,[1]DrawPrep!$A$3:$G$18,6,FALSE),0)</f>
        <v>61</v>
      </c>
      <c r="I13" s="80">
        <f>IF([1]Setup!$B$24="#",0,IF($G13&gt;0,VLOOKUP($G13,[1]DrawPrep!$A$3:$G$18,3,FALSE),0))</f>
        <v>32097</v>
      </c>
      <c r="J13" s="81" t="str">
        <f>IF($I13&gt;0,VLOOKUP($I13,[1]DrawPrep!$C$3:$G$18,2,FALSE),"bye")</f>
        <v>ΤΣΑΡΠΑΛΗΣ ΗΛΙΑΣ</v>
      </c>
      <c r="K13" s="81" t="str">
        <f t="shared" si="0"/>
        <v>ΤΣΑΡΠΑΛΗΣ</v>
      </c>
      <c r="L13" s="82" t="str">
        <f>IF($I13&gt;0,VLOOKUP($I13,[1]DrawPrep!$C$3:$G$18,3,FALSE),"")</f>
        <v>Ο.Α. ΑΙΓΙΑΛΕΙΑΣ</v>
      </c>
      <c r="M13" s="39">
        <v>1</v>
      </c>
      <c r="N13" s="40" t="str">
        <f>UPPER(IF($A$2="R",IF(OR(M13=1,M13="a"),I13,IF(OR(M13=2,M13="b"),I14,"")),IF(OR(M13=1,M13="a"),K13,IF(OR(M13=2,M13="b"),K14,""))))</f>
        <v>ΤΣΑΡΠΑΛΗΣ</v>
      </c>
      <c r="O13" s="41"/>
      <c r="P13" s="42"/>
      <c r="R13" s="83" t="s">
        <v>14</v>
      </c>
    </row>
    <row r="14" spans="1:19" ht="12" customHeight="1">
      <c r="A14" s="77">
        <v>10</v>
      </c>
      <c r="B14" s="45">
        <f>7-D14+4</f>
        <v>6</v>
      </c>
      <c r="C14" s="71">
        <f>IF([1]Setup!E2=3,4,3)</f>
        <v>4</v>
      </c>
      <c r="D14" s="47">
        <f t="shared" si="1"/>
        <v>5</v>
      </c>
      <c r="E14" s="48">
        <f>IF($B$2&gt;=C14,1,0)</f>
        <v>1</v>
      </c>
      <c r="F14" s="27" t="str">
        <f>IF(NOT($G14="-"),VLOOKUP($G14,[1]DrawPrep!$A$3:$G$18,2,FALSE),"")</f>
        <v/>
      </c>
      <c r="G14" s="27" t="str">
        <f>IF($B$2&gt;=C14,"-",VLOOKUP($B14,[1]Setup!$G$12:$H$27,2,FALSE))</f>
        <v>-</v>
      </c>
      <c r="H14" s="79">
        <f>IF(NOT($G14="-"),VLOOKUP($G14,[1]DrawPrep!$A$3:$G$18,6,FALSE),0)</f>
        <v>0</v>
      </c>
      <c r="I14" s="79">
        <f>IF([1]Setup!$B$24="#",0,IF(NOT($G14="-"),VLOOKUP($G14,[1]DrawPrep!$A$3:$G$18,3,FALSE),0))</f>
        <v>0</v>
      </c>
      <c r="J14" s="84" t="str">
        <f>IF($I14&gt;0,VLOOKUP($I14,[1]DrawPrep!$C$3:$G$18,2,FALSE),"bye")</f>
        <v>bye</v>
      </c>
      <c r="K14" s="84" t="str">
        <f t="shared" si="0"/>
        <v/>
      </c>
      <c r="L14" s="85" t="str">
        <f>IF($I14&gt;0,VLOOKUP($I14,[1]DrawPrep!$C$3:$G$18,3,FALSE),"")</f>
        <v/>
      </c>
      <c r="M14" s="53"/>
      <c r="N14" s="54"/>
      <c r="O14" s="39">
        <v>1</v>
      </c>
      <c r="P14" s="40" t="str">
        <f>UPPER(IF($A$2="R",IF(OR(O14=1,O14="a"),N13,IF(OR(O14=2,O14="b"),N15,"")),IF(OR(O14=1,O14="a"),N13,IF(OR(O14=2,O14="b"),N15,""))))</f>
        <v>ΤΣΑΡΠΑΛΗΣ</v>
      </c>
      <c r="Q14" s="41"/>
      <c r="R14" s="73" t="s">
        <v>15</v>
      </c>
    </row>
    <row r="15" spans="1:19" ht="12" customHeight="1">
      <c r="A15" s="55">
        <v>11</v>
      </c>
      <c r="B15" s="45">
        <f>8-D15+4</f>
        <v>7</v>
      </c>
      <c r="C15" s="56"/>
      <c r="D15" s="47">
        <f t="shared" si="1"/>
        <v>5</v>
      </c>
      <c r="E15" s="57">
        <v>0</v>
      </c>
      <c r="F15" s="58">
        <f>IF(NOT($G15="-"),VLOOKUP($G15,[1]DrawPrep!$A$3:$G$18,2,FALSE),"")</f>
        <v>0</v>
      </c>
      <c r="G15" s="58">
        <f>VLOOKUP($B15,[1]Setup!$G$12:$H$27,2,FALSE)</f>
        <v>5</v>
      </c>
      <c r="H15" s="59">
        <f>IF($G15&gt;0,VLOOKUP($G15,[1]DrawPrep!$A$3:$G$18,6,FALSE),0)</f>
        <v>0</v>
      </c>
      <c r="I15" s="59">
        <f>IF([1]Setup!$B$24="#",0,IF($G15&gt;0,VLOOKUP($G15,[1]DrawPrep!$A$3:$G$18,3,FALSE),0))</f>
        <v>29964</v>
      </c>
      <c r="J15" s="60" t="str">
        <f>IF($I15&gt;0,VLOOKUP($I15,[1]DrawPrep!$C$3:$G$18,2,FALSE),"bye")</f>
        <v>ΚΑΡΑΓΙΑΝΝΗΣ ΠΑΝΤΕΛΗΣ</v>
      </c>
      <c r="K15" s="60" t="str">
        <f t="shared" si="0"/>
        <v>ΚΑΡΑΓΙΑΝΝΗΣ</v>
      </c>
      <c r="L15" s="61" t="str">
        <f>IF($I15&gt;0,VLOOKUP($I15,[1]DrawPrep!$C$3:$G$18,3,FALSE),"")</f>
        <v>Α.Ε.Τ. ΝΙΚΗ ΠΑΤΡΩΝ</v>
      </c>
      <c r="M15" s="39">
        <v>1</v>
      </c>
      <c r="N15" s="40" t="str">
        <f>UPPER(IF($A$2="R",IF(OR(M15=1,M15="a"),I15,IF(OR(M15=2,M15="b"),I16,"")),IF(OR(M15=1,M15="a"),K15,IF(OR(M15=2,M15="b"),K16,""))))</f>
        <v>ΚΑΡΑΓΙΑΝΝΗΣ</v>
      </c>
      <c r="O15" s="53"/>
      <c r="P15" s="54" t="s">
        <v>16</v>
      </c>
      <c r="Q15" s="41"/>
      <c r="R15" s="73"/>
    </row>
    <row r="16" spans="1:19" ht="12" customHeight="1">
      <c r="A16" s="62">
        <v>12</v>
      </c>
      <c r="B16" s="45">
        <f>9-D16+4</f>
        <v>7</v>
      </c>
      <c r="C16" s="46">
        <v>6</v>
      </c>
      <c r="D16" s="47">
        <f t="shared" si="1"/>
        <v>6</v>
      </c>
      <c r="E16" s="48">
        <f>IF($B$2&gt;=C16,1,0)</f>
        <v>1</v>
      </c>
      <c r="F16" s="63" t="str">
        <f>IF(NOT($G16="-"),VLOOKUP($G16,[1]DrawPrep!$A$3:$G$18,2,FALSE),"")</f>
        <v/>
      </c>
      <c r="G16" s="63" t="str">
        <f>IF($B$2&gt;=C16,"-",VLOOKUP($B16,[1]Setup!$G$12:$H$27,2,FALSE))</f>
        <v>-</v>
      </c>
      <c r="H16" s="64">
        <f>IF(NOT($G16="-"),VLOOKUP($G16,[1]DrawPrep!$A$3:$G$18,6,FALSE),0)</f>
        <v>0</v>
      </c>
      <c r="I16" s="64">
        <f>IF([1]Setup!$B$24="#",0,IF(NOT($G16="-"),VLOOKUP($G16,[1]DrawPrep!$A$3:$G$18,3,FALSE),0))</f>
        <v>0</v>
      </c>
      <c r="J16" s="65" t="str">
        <f>IF($I16&gt;0,VLOOKUP($I16,[1]DrawPrep!$C$3:$G$18,2,FALSE),"bye")</f>
        <v>bye</v>
      </c>
      <c r="K16" s="65" t="str">
        <f t="shared" si="0"/>
        <v/>
      </c>
      <c r="L16" s="66" t="str">
        <f>IF($I16&gt;0,VLOOKUP($I16,[1]DrawPrep!$C$3:$G$18,3,FALSE),"")</f>
        <v/>
      </c>
      <c r="M16" s="86"/>
      <c r="N16" s="74"/>
      <c r="O16" s="41"/>
      <c r="P16" s="67"/>
      <c r="Q16" s="68">
        <v>2</v>
      </c>
      <c r="R16" s="87" t="str">
        <f>UPPER(IF($A$2="R",IF(OR(Q16=1,Q16="a"),P14,IF(OR(Q16=2,Q16="b"),P18,"")),IF(OR(Q16=1,Q16="a"),P14,IF(OR(Q16=2,Q16="b"),P18,""))))</f>
        <v>ΨΑΡΙΑΔΗΣ</v>
      </c>
      <c r="S16" s="72"/>
    </row>
    <row r="17" spans="1:19" ht="12" customHeight="1">
      <c r="A17" s="77">
        <v>13</v>
      </c>
      <c r="B17" s="45">
        <f>10-D17+4</f>
        <v>8</v>
      </c>
      <c r="C17" s="56"/>
      <c r="D17" s="47">
        <f t="shared" si="1"/>
        <v>6</v>
      </c>
      <c r="E17" s="57">
        <v>0</v>
      </c>
      <c r="F17" s="27">
        <f>IF(NOT($G17="-"),VLOOKUP($G17,[1]DrawPrep!$A$3:$G$18,2,FALSE),"")</f>
        <v>0</v>
      </c>
      <c r="G17" s="27">
        <f>VLOOKUP($B17,[1]Setup!$G$12:$H$27,2,FALSE)</f>
        <v>7</v>
      </c>
      <c r="H17" s="79">
        <f>IF($G17&gt;0,VLOOKUP($G17,[1]DrawPrep!$A$3:$G$18,6,FALSE),0)</f>
        <v>14</v>
      </c>
      <c r="I17" s="79">
        <f>IF([1]Setup!$B$24="#",0,IF($G17&gt;0,VLOOKUP($G17,[1]DrawPrep!$A$3:$G$18,3,FALSE),0))</f>
        <v>29952</v>
      </c>
      <c r="J17" s="84" t="str">
        <f>IF($I17&gt;0,VLOOKUP($I17,[1]DrawPrep!$C$3:$G$18,2,FALSE),"bye")</f>
        <v>ΚΑΝΕΛΛΟΠΟΥΛΟΣ ΠΕΤΡΟΣ</v>
      </c>
      <c r="K17" s="84" t="str">
        <f t="shared" si="0"/>
        <v>ΚΑΝΕΛΛΟΠΟΥΛΟΣ</v>
      </c>
      <c r="L17" s="85" t="str">
        <f>IF($I17&gt;0,VLOOKUP($I17,[1]DrawPrep!$C$3:$G$18,3,FALSE),"")</f>
        <v>Α.Ε.Κ. ΤΡΙΠΟΛΗΣ</v>
      </c>
      <c r="M17" s="39">
        <v>1</v>
      </c>
      <c r="N17" s="40" t="str">
        <f>UPPER(IF($A$2="R",IF(OR(M17=1,M17="a"),I17,IF(OR(M17=2,M17="b"),I18,"")),IF(OR(M17=1,M17="a"),K17,IF(OR(M17=2,M17="b"),K18,""))))</f>
        <v>ΚΑΝΕΛΛΟΠΟΥΛΟΣ</v>
      </c>
      <c r="O17" s="41"/>
      <c r="P17" s="67"/>
      <c r="Q17" s="41"/>
      <c r="R17" s="27" t="s">
        <v>17</v>
      </c>
    </row>
    <row r="18" spans="1:19" ht="12" customHeight="1">
      <c r="A18" s="77">
        <v>14</v>
      </c>
      <c r="B18" s="45">
        <f>11-D18+4</f>
        <v>9</v>
      </c>
      <c r="C18" s="46">
        <v>8</v>
      </c>
      <c r="D18" s="47">
        <f t="shared" si="1"/>
        <v>6</v>
      </c>
      <c r="E18" s="48">
        <f>IF($B$2&gt;=C18,1,0)</f>
        <v>0</v>
      </c>
      <c r="F18" s="27">
        <f>IF(NOT($G18="-"),VLOOKUP($G18,[1]DrawPrep!$A$3:$G$18,2,FALSE),"")</f>
        <v>0</v>
      </c>
      <c r="G18" s="27">
        <f>IF($B$2&gt;=C18,"-",VLOOKUP($B18,[1]Setup!$G$12:$H$27,2,FALSE))</f>
        <v>8</v>
      </c>
      <c r="H18" s="79">
        <f>IF(NOT($G18="-"),VLOOKUP($G18,[1]DrawPrep!$A$3:$G$18,6,FALSE),0)</f>
        <v>8</v>
      </c>
      <c r="I18" s="79">
        <f>IF([1]Setup!$B$24="#",0,IF(NOT($G18="-"),VLOOKUP($G18,[1]DrawPrep!$A$3:$G$18,3,FALSE),0))</f>
        <v>34634</v>
      </c>
      <c r="J18" s="84" t="str">
        <f>IF($I18&gt;0,VLOOKUP($I18,[1]DrawPrep!$C$3:$G$18,2,FALSE),"bye")</f>
        <v>ΛΥΜΠΕΡΟΠΟΥΛΟΣ ΧΡΥΣΑΝΘΟΣ</v>
      </c>
      <c r="K18" s="84" t="str">
        <f t="shared" si="0"/>
        <v>ΛΥΜΠΕΡΟΠΟΥΛΟΣ</v>
      </c>
      <c r="L18" s="85" t="str">
        <f>IF($I18&gt;0,VLOOKUP($I18,[1]DrawPrep!$C$3:$G$18,3,FALSE),"")</f>
        <v>Ο.Α. ΚΑΛΑΜΑΤΑΣ</v>
      </c>
      <c r="M18" s="53"/>
      <c r="N18" s="54" t="s">
        <v>11</v>
      </c>
      <c r="O18" s="39">
        <v>2</v>
      </c>
      <c r="P18" s="40" t="str">
        <f>UPPER(IF($A$2="R",IF(OR(O18=1,O18="a"),N17,IF(OR(O18=2,O18="b"),N19,"")),IF(OR(O18=1,O18="a"),N17,IF(OR(O18=2,O18="b"),N19,""))))</f>
        <v>ΨΑΡΙΑΔΗΣ</v>
      </c>
      <c r="Q18" s="72"/>
      <c r="R18" s="42"/>
    </row>
    <row r="19" spans="1:19" ht="12" customHeight="1">
      <c r="A19" s="55">
        <v>15</v>
      </c>
      <c r="B19" s="45">
        <f>12-D19+4</f>
        <v>9</v>
      </c>
      <c r="C19" s="46">
        <v>2</v>
      </c>
      <c r="D19" s="47">
        <f t="shared" si="1"/>
        <v>7</v>
      </c>
      <c r="E19" s="48">
        <f>IF($B$2&gt;=C19,1,0)</f>
        <v>1</v>
      </c>
      <c r="F19" s="58" t="str">
        <f>IF(NOT($G19="-"),VLOOKUP($G19,[1]DrawPrep!$A$3:$G$18,2,FALSE),"")</f>
        <v/>
      </c>
      <c r="G19" s="58" t="str">
        <f>IF($B$2&gt;=C19,"-",VLOOKUP($B19,[1]Setup!$G$12:$H$27,2,FALSE))</f>
        <v>-</v>
      </c>
      <c r="H19" s="59">
        <f>IF(NOT($G19="-"),VLOOKUP($G19,[1]DrawPrep!$A$3:$G$18,6,FALSE),0)</f>
        <v>0</v>
      </c>
      <c r="I19" s="59">
        <f>IF([1]Setup!$B$24="#",0,IF(NOT($G19="-"),VLOOKUP($G19,[1]DrawPrep!$A$3:$G$18,3,FALSE),0))</f>
        <v>0</v>
      </c>
      <c r="J19" s="60" t="str">
        <f>IF($I19&gt;0,VLOOKUP($I19,[1]DrawPrep!$C$3:$G$18,2,FALSE),"bye")</f>
        <v>bye</v>
      </c>
      <c r="K19" s="60" t="str">
        <f t="shared" si="0"/>
        <v/>
      </c>
      <c r="L19" s="61" t="str">
        <f>IF($I19&gt;0,VLOOKUP($I19,[1]DrawPrep!$C$3:$G$18,3,FALSE),"")</f>
        <v/>
      </c>
      <c r="M19" s="39">
        <v>2</v>
      </c>
      <c r="N19" s="40" t="str">
        <f>UPPER(IF($A$2="R",IF(OR(M19=1,M19="a"),I19,IF(OR(M19=2,M19="b"),I20,"")),IF(OR(M19=1,M19="a"),K19,IF(OR(M19=2,M19="b"),K20,""))))</f>
        <v>ΨΑΡΙΑΔΗΣ</v>
      </c>
      <c r="O19" s="53"/>
      <c r="P19" s="74" t="s">
        <v>18</v>
      </c>
      <c r="Q19" s="41"/>
      <c r="R19" s="42"/>
    </row>
    <row r="20" spans="1:19" ht="12" customHeight="1">
      <c r="A20" s="62">
        <v>16</v>
      </c>
      <c r="B20" s="29">
        <v>2</v>
      </c>
      <c r="C20" s="56"/>
      <c r="D20" s="47">
        <f t="shared" si="1"/>
        <v>7</v>
      </c>
      <c r="E20" s="57">
        <v>0</v>
      </c>
      <c r="F20" s="63">
        <f>IF(NOT($G20="-"),VLOOKUP($G20,[1]DrawPrep!$A$3:$G$18,2,FALSE),"")</f>
        <v>0</v>
      </c>
      <c r="G20" s="88">
        <f>VLOOKUP($B20,[1]Setup!$G$12:$H$27,2,FALSE)</f>
        <v>2</v>
      </c>
      <c r="H20" s="64">
        <f>IF($G20&gt;0,VLOOKUP($G20,[1]DrawPrep!$A$3:$G$18,6,FALSE),0)</f>
        <v>165</v>
      </c>
      <c r="I20" s="89">
        <f>IF([1]Setup!$B$24="#",0,IF($G20&gt;0,VLOOKUP($G20,[1]DrawPrep!$A$3:$G$18,3,FALSE),0))</f>
        <v>28575</v>
      </c>
      <c r="J20" s="90" t="str">
        <f>IF($I20&gt;0,VLOOKUP($I20,[1]DrawPrep!$C$3:$G$18,2,FALSE),"bye")</f>
        <v>ΨΑΡΙΑΔΗΣ ΜΙΧΑΛΗΣ</v>
      </c>
      <c r="K20" s="90" t="str">
        <f t="shared" si="0"/>
        <v>ΨΑΡΙΑΔΗΣ</v>
      </c>
      <c r="L20" s="91" t="str">
        <f>IF($I20&gt;0,VLOOKUP($I20,[1]DrawPrep!$C$3:$G$18,3,FALSE),"")</f>
        <v>Ο.Α. ΑΙΓΙΑΛΕΙΑΣ</v>
      </c>
      <c r="M20" s="53"/>
      <c r="N20" s="74"/>
      <c r="O20" s="41"/>
      <c r="P20" s="42"/>
      <c r="Q20" s="41"/>
      <c r="R20" s="42"/>
      <c r="S20" s="25"/>
    </row>
    <row r="21" spans="1:19">
      <c r="N21" s="93" t="s">
        <v>19</v>
      </c>
      <c r="P21" s="93" t="s">
        <v>19</v>
      </c>
      <c r="R21" s="93" t="s">
        <v>19</v>
      </c>
    </row>
    <row r="22" spans="1:19">
      <c r="G22" s="94"/>
      <c r="H22" s="94"/>
      <c r="P22" s="42"/>
    </row>
    <row r="23" spans="1:19">
      <c r="G23" s="27"/>
      <c r="H23" s="27"/>
      <c r="P23" s="95"/>
    </row>
    <row r="24" spans="1:19" s="96" customFormat="1" ht="9">
      <c r="C24" s="97"/>
      <c r="D24" s="98"/>
      <c r="E24" s="98"/>
      <c r="G24" s="97"/>
      <c r="H24" s="97"/>
      <c r="I24" s="97"/>
      <c r="J24" s="99" t="s">
        <v>20</v>
      </c>
      <c r="K24" s="100"/>
      <c r="M24" s="101"/>
      <c r="O24" s="102"/>
      <c r="Q24" s="102"/>
      <c r="R24" s="103"/>
      <c r="S24" s="104"/>
    </row>
    <row r="25" spans="1:19" s="96" customFormat="1" ht="9">
      <c r="C25" s="97"/>
      <c r="D25" s="98"/>
      <c r="E25" s="98"/>
      <c r="G25" s="97"/>
      <c r="H25" s="97"/>
      <c r="I25" s="97"/>
      <c r="J25" s="105" t="str">
        <f>"1. " &amp; IF([1]Setup!B19&gt;0,LEFT([1]DrawPrep!D3,FIND(" ",[1]DrawPrep!D3)+1),"")</f>
        <v>1. ΤΣΙΚΟΒ Α</v>
      </c>
      <c r="K25" s="103"/>
      <c r="M25" s="106"/>
      <c r="N25" s="106"/>
      <c r="O25" s="102"/>
      <c r="Q25" s="102"/>
      <c r="R25" s="103"/>
      <c r="S25" s="104"/>
    </row>
    <row r="26" spans="1:19" s="96" customFormat="1" ht="9">
      <c r="C26" s="97"/>
      <c r="D26" s="98"/>
      <c r="E26" s="98"/>
      <c r="G26" s="97"/>
      <c r="H26" s="97"/>
      <c r="I26" s="97"/>
      <c r="J26" s="105" t="str">
        <f>"2. " &amp; IF([1]Setup!B19&gt;1,LEFT([1]DrawPrep!D4,FIND(" ",[1]DrawPrep!D4)+1),"")</f>
        <v>2. ΨΑΡΙΑΔΗΣ Μ</v>
      </c>
      <c r="K26" s="103"/>
      <c r="M26" s="101"/>
      <c r="O26" s="102"/>
      <c r="Q26" s="102"/>
      <c r="R26" s="107" t="s">
        <v>21</v>
      </c>
      <c r="S26" s="104"/>
    </row>
    <row r="27" spans="1:19" s="96" customFormat="1" ht="9">
      <c r="C27" s="97"/>
      <c r="D27" s="98"/>
      <c r="E27" s="98"/>
      <c r="G27" s="97"/>
      <c r="H27" s="97"/>
      <c r="I27" s="97"/>
      <c r="J27" s="105" t="str">
        <f>"3. " &amp; IF([1]Setup!B19&gt;2,LEFT([1]DrawPrep!D5,FIND(" ",[1]DrawPrep!D5)+1),"")</f>
        <v>3. ΚΑΡΕΛΑΣ Π</v>
      </c>
      <c r="K27" s="103"/>
      <c r="M27" s="101"/>
      <c r="O27" s="102"/>
      <c r="Q27" s="102"/>
      <c r="R27" s="108" t="str">
        <f>[1]Setup!B10</f>
        <v>Χρήστος Χριστόπουλος</v>
      </c>
      <c r="S27" s="108"/>
    </row>
    <row r="28" spans="1:19" s="96" customFormat="1" ht="9">
      <c r="C28" s="97"/>
      <c r="D28" s="98"/>
      <c r="E28" s="98"/>
      <c r="G28" s="97"/>
      <c r="H28" s="97"/>
      <c r="I28" s="97"/>
      <c r="J28" s="105" t="str">
        <f>"4. " &amp; IF([1]Setup!B19&gt;3,LEFT([1]DrawPrep!D6,FIND(" ",[1]DrawPrep!D6)+1),"")</f>
        <v>4. ΤΣΑΡΠΑΛΗΣ Η</v>
      </c>
      <c r="K28" s="103"/>
      <c r="M28" s="101"/>
      <c r="O28" s="102"/>
      <c r="Q28" s="102"/>
      <c r="R28" s="103"/>
      <c r="S28" s="104"/>
    </row>
    <row r="39" spans="10:10">
      <c r="J39" s="109"/>
    </row>
    <row r="40" spans="10:10" hidden="1">
      <c r="J40" s="110" t="s">
        <v>22</v>
      </c>
    </row>
    <row r="41" spans="10:10" hidden="1">
      <c r="J41" s="111" t="str">
        <f>IF([1]Setup!$B$19&gt;0,LEFT([1]DrawPrep!D3,FIND(" ",[1]DrawPrep!D3)-1))</f>
        <v>ΤΣΙΚΟΒ</v>
      </c>
    </row>
    <row r="42" spans="10:10" hidden="1">
      <c r="J42" s="111" t="str">
        <f>IF([1]Setup!$B$19&gt;1,LEFT([1]DrawPrep!D4,FIND(" ",[1]DrawPrep!D4)-1))</f>
        <v>ΨΑΡΙΑΔΗΣ</v>
      </c>
    </row>
    <row r="43" spans="10:10" hidden="1">
      <c r="J43" s="111" t="str">
        <f>IF([1]Setup!$B$19&gt;2,LEFT([1]DrawPrep!D5,FIND(" ",[1]DrawPrep!D5)-1))</f>
        <v>ΚΑΡΕΛΑΣ</v>
      </c>
    </row>
    <row r="44" spans="10:10" hidden="1">
      <c r="J44" s="111" t="str">
        <f>IF([1]Setup!$B$19&gt;3,LEFT([1]DrawPrep!D6,FIND(" ",[1]DrawPrep!D6)-1))</f>
        <v>ΤΣΑΡΠΑΛΗΣ</v>
      </c>
    </row>
    <row r="45" spans="10:10" ht="11.25">
      <c r="J45" s="112"/>
    </row>
    <row r="46" spans="10:10" ht="11.25">
      <c r="J46" s="113"/>
    </row>
    <row r="47" spans="10:10" ht="11.25">
      <c r="J47" s="113"/>
    </row>
    <row r="48" spans="10:10" ht="11.25">
      <c r="J48" s="113"/>
    </row>
  </sheetData>
  <sheetProtection password="CF33" sheet="1" objects="1" scenarios="1" formatCells="0" formatColumns="0" formatRows="0" insertColumns="0"/>
  <protectedRanges>
    <protectedRange sqref="G5:G20" name="seeds"/>
    <protectedRange sqref="N6 N8 N10 N12 N14 N16 N18 N20 P7 P11 P15 P19 R9 R17" name="scores"/>
    <protectedRange sqref="M5 M7 M9 M11 M13 M15 M17 M19 O6 O10 O14 O18 Q8 Q16 Q12" name="winners"/>
  </protectedRanges>
  <mergeCells count="3">
    <mergeCell ref="A1:P1"/>
    <mergeCell ref="J3:L3"/>
    <mergeCell ref="R27:S27"/>
  </mergeCells>
  <conditionalFormatting sqref="N5 N7 N9 N11 N13 N15 N17 N19 P18 P14 P10 P6 R8 R16">
    <cfRule type="expression" dxfId="1" priority="2">
      <formula>MATCH(N5,$J$41:$J$44,0)</formula>
    </cfRule>
  </conditionalFormatting>
  <conditionalFormatting sqref="R12">
    <cfRule type="expression" dxfId="0" priority="1">
      <formula>MATCH(R12,$J$41:$J$44,0)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Footer>&amp;R&amp;D&amp;T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Draw</vt:lpstr>
      <vt:lpstr>Draw!Print_Area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ΣΠΥΡΙΔΟΥΛΑ</dc:creator>
  <cp:lastModifiedBy>ΣΠΥΡΙΔΟΥΛΑ</cp:lastModifiedBy>
  <dcterms:created xsi:type="dcterms:W3CDTF">2015-03-03T09:19:31Z</dcterms:created>
  <dcterms:modified xsi:type="dcterms:W3CDTF">2015-03-03T09:20:37Z</dcterms:modified>
</cp:coreProperties>
</file>