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935"/>
  </bookViews>
  <sheets>
    <sheet name="Draw" sheetId="1" r:id="rId1"/>
  </sheets>
  <externalReferences>
    <externalReference r:id="rId2"/>
  </externalReferences>
  <definedNames>
    <definedName name="_xlnm._FilterDatabase" localSheetId="0" hidden="1">Draw!$A$4:$S$12</definedName>
    <definedName name="_xlnm.Print_Area" localSheetId="0">Draw!$A$1:$R$19</definedName>
  </definedNames>
  <calcPr calcId="124519"/>
</workbook>
</file>

<file path=xl/calcChain.xml><?xml version="1.0" encoding="utf-8"?>
<calcChain xmlns="http://schemas.openxmlformats.org/spreadsheetml/2006/main">
  <c r="J42" i="1"/>
  <c r="J41"/>
  <c r="J18"/>
  <c r="P17"/>
  <c r="J17"/>
  <c r="G12"/>
  <c r="H12" s="1"/>
  <c r="E6"/>
  <c r="D6" s="1"/>
  <c r="H5"/>
  <c r="G5"/>
  <c r="I5" s="1"/>
  <c r="F5"/>
  <c r="B2"/>
  <c r="R1"/>
  <c r="A1"/>
  <c r="L5" l="1"/>
  <c r="J5"/>
  <c r="K5" s="1"/>
  <c r="N5" s="1"/>
  <c r="D7"/>
  <c r="B6"/>
  <c r="G6" s="1"/>
  <c r="E10"/>
  <c r="I12"/>
  <c r="E8"/>
  <c r="E11"/>
  <c r="F12"/>
  <c r="L12" l="1"/>
  <c r="J12"/>
  <c r="K12" s="1"/>
  <c r="N11" s="1"/>
  <c r="P10" s="1"/>
  <c r="R8" s="1"/>
  <c r="H6"/>
  <c r="F6"/>
  <c r="I6"/>
  <c r="B7"/>
  <c r="G7" s="1"/>
  <c r="D8"/>
  <c r="L6" l="1"/>
  <c r="J6"/>
  <c r="K6"/>
  <c r="H7"/>
  <c r="F7"/>
  <c r="I7"/>
  <c r="D9"/>
  <c r="B8"/>
  <c r="G8" s="1"/>
  <c r="D10" l="1"/>
  <c r="B9"/>
  <c r="G9" s="1"/>
  <c r="I8"/>
  <c r="H8"/>
  <c r="F8"/>
  <c r="L7"/>
  <c r="J7"/>
  <c r="K7"/>
  <c r="N7" s="1"/>
  <c r="P6" s="1"/>
  <c r="L8" l="1"/>
  <c r="J8"/>
  <c r="K8" s="1"/>
  <c r="D11"/>
  <c r="B10"/>
  <c r="G10" s="1"/>
  <c r="I9"/>
  <c r="H9"/>
  <c r="F9"/>
  <c r="H10" l="1"/>
  <c r="F10"/>
  <c r="I10"/>
  <c r="L9"/>
  <c r="J9"/>
  <c r="K9" s="1"/>
  <c r="B11"/>
  <c r="G11" s="1"/>
  <c r="D12"/>
  <c r="I11" l="1"/>
  <c r="H11"/>
  <c r="F11"/>
  <c r="L10"/>
  <c r="J10"/>
  <c r="K10"/>
  <c r="N9" s="1"/>
  <c r="L11" l="1"/>
  <c r="J11"/>
  <c r="K11" s="1"/>
</calcChain>
</file>

<file path=xl/sharedStrings.xml><?xml version="1.0" encoding="utf-8"?>
<sst xmlns="http://schemas.openxmlformats.org/spreadsheetml/2006/main" count="25" uniqueCount="22">
  <si>
    <t>w</t>
  </si>
  <si>
    <t>α/α</t>
  </si>
  <si>
    <t>ByeOrder</t>
  </si>
  <si>
    <t>ByeSum</t>
  </si>
  <si>
    <t>ByeCnt</t>
  </si>
  <si>
    <t>από</t>
  </si>
  <si>
    <t>seed</t>
  </si>
  <si>
    <t>Pts</t>
  </si>
  <si>
    <t>Α.Μ.</t>
  </si>
  <si>
    <t>Ονοματεπώνυμο</t>
  </si>
  <si>
    <t>επώνυμο</t>
  </si>
  <si>
    <t>Σύλλογος</t>
  </si>
  <si>
    <t>4-0 4-0</t>
  </si>
  <si>
    <t>7-6(3) 6-2</t>
  </si>
  <si>
    <t>6-1 6-3</t>
  </si>
  <si>
    <t>1-4 4-1 7-4</t>
  </si>
  <si>
    <t>6-0 6-0</t>
  </si>
  <si>
    <t xml:space="preserve"> </t>
  </si>
  <si>
    <t>seeded players</t>
  </si>
  <si>
    <t>επιδιαιτητής</t>
  </si>
  <si>
    <t>ok</t>
  </si>
  <si>
    <t>BoldNames</t>
  </si>
</sst>
</file>

<file path=xl/styles.xml><?xml version="1.0" encoding="utf-8"?>
<styleSheet xmlns="http://schemas.openxmlformats.org/spreadsheetml/2006/main">
  <fonts count="27">
    <font>
      <sz val="10"/>
      <name val="Arial"/>
      <family val="2"/>
      <charset val="161"/>
    </font>
    <font>
      <b/>
      <sz val="12"/>
      <color indexed="10"/>
      <name val="Arial"/>
      <family val="2"/>
      <charset val="161"/>
    </font>
    <font>
      <b/>
      <u/>
      <sz val="14"/>
      <name val="Tahoma"/>
      <family val="2"/>
      <charset val="161"/>
    </font>
    <font>
      <b/>
      <u/>
      <sz val="13"/>
      <name val="Tahoma"/>
      <family val="2"/>
      <charset val="161"/>
    </font>
    <font>
      <b/>
      <sz val="13"/>
      <name val="Tahoma"/>
      <family val="2"/>
      <charset val="161"/>
    </font>
    <font>
      <sz val="8"/>
      <name val="Tahoma"/>
      <family val="2"/>
      <charset val="161"/>
    </font>
    <font>
      <sz val="8"/>
      <color indexed="55"/>
      <name val="Tahoma"/>
      <family val="2"/>
      <charset val="161"/>
    </font>
    <font>
      <sz val="8"/>
      <color indexed="23"/>
      <name val="Tahoma"/>
      <family val="2"/>
      <charset val="161"/>
    </font>
    <font>
      <sz val="6"/>
      <name val="Tahoma"/>
      <family val="2"/>
      <charset val="161"/>
    </font>
    <font>
      <u/>
      <sz val="8"/>
      <name val="Tahoma"/>
      <family val="2"/>
      <charset val="161"/>
    </font>
    <font>
      <u/>
      <sz val="6"/>
      <color indexed="55"/>
      <name val="Tahoma"/>
      <family val="2"/>
      <charset val="161"/>
    </font>
    <font>
      <u/>
      <sz val="8"/>
      <color indexed="55"/>
      <name val="Tahoma"/>
      <family val="2"/>
      <charset val="161"/>
    </font>
    <font>
      <b/>
      <sz val="6"/>
      <color indexed="12"/>
      <name val="Tahoma"/>
      <family val="2"/>
      <charset val="161"/>
    </font>
    <font>
      <b/>
      <sz val="6"/>
      <name val="Tahoma"/>
      <family val="2"/>
      <charset val="161"/>
    </font>
    <font>
      <b/>
      <sz val="8"/>
      <color indexed="12"/>
      <name val="Tahoma"/>
      <family val="2"/>
      <charset val="161"/>
    </font>
    <font>
      <sz val="6"/>
      <color indexed="55"/>
      <name val="Tahoma"/>
      <family val="2"/>
      <charset val="161"/>
    </font>
    <font>
      <sz val="7"/>
      <name val="Tahoma"/>
      <family val="2"/>
      <charset val="161"/>
    </font>
    <font>
      <b/>
      <sz val="8"/>
      <name val="Tahoma"/>
      <family val="2"/>
      <charset val="161"/>
    </font>
    <font>
      <b/>
      <sz val="9"/>
      <name val="Tahoma"/>
      <family val="2"/>
      <charset val="161"/>
    </font>
    <font>
      <sz val="9"/>
      <name val="Tahoma"/>
      <family val="2"/>
      <charset val="161"/>
    </font>
    <font>
      <i/>
      <sz val="7"/>
      <name val="Tahoma"/>
      <family val="2"/>
      <charset val="161"/>
    </font>
    <font>
      <b/>
      <i/>
      <u/>
      <sz val="7"/>
      <name val="Tahoma"/>
      <family val="2"/>
      <charset val="161"/>
    </font>
    <font>
      <i/>
      <sz val="7"/>
      <color indexed="55"/>
      <name val="Tahoma"/>
      <family val="2"/>
      <charset val="161"/>
    </font>
    <font>
      <i/>
      <u/>
      <sz val="7"/>
      <name val="Tahoma"/>
      <family val="2"/>
      <charset val="161"/>
    </font>
    <font>
      <b/>
      <i/>
      <sz val="7"/>
      <name val="Tahoma"/>
      <family val="2"/>
      <charset val="161"/>
    </font>
    <font>
      <b/>
      <i/>
      <u/>
      <sz val="7"/>
      <color indexed="22"/>
      <name val="Tahoma"/>
      <family val="2"/>
      <charset val="161"/>
    </font>
    <font>
      <i/>
      <sz val="7"/>
      <color indexed="22"/>
      <name val="Tahoma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quotePrefix="1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 applyProtection="1">
      <alignment vertical="center"/>
      <protection locked="0"/>
    </xf>
    <xf numFmtId="0" fontId="6" fillId="3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NumberFormat="1" applyFont="1" applyFill="1" applyAlignment="1" applyProtection="1">
      <alignment horizontal="center" vertical="center"/>
      <protection locked="0"/>
    </xf>
    <xf numFmtId="0" fontId="13" fillId="4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quotePrefix="1" applyNumberFormat="1" applyFont="1" applyFill="1" applyBorder="1" applyAlignment="1" applyProtection="1">
      <alignment horizontal="center" vertical="center"/>
    </xf>
    <xf numFmtId="0" fontId="17" fillId="0" borderId="1" xfId="0" quotePrefix="1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horizontal="left" vertical="center"/>
    </xf>
    <xf numFmtId="0" fontId="15" fillId="3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Alignment="1" applyProtection="1">
      <alignment vertical="center"/>
      <protection locked="0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16" fillId="7" borderId="0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19" fillId="0" borderId="4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/>
      <protection locked="0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16" fillId="2" borderId="4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19" fillId="2" borderId="4" xfId="0" applyNumberFormat="1" applyFont="1" applyFill="1" applyBorder="1" applyAlignment="1" applyProtection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  <protection locked="0"/>
    </xf>
    <xf numFmtId="0" fontId="1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8" borderId="4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15" fillId="3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7" fillId="2" borderId="4" xfId="0" applyNumberFormat="1" applyFont="1" applyFill="1" applyBorder="1" applyAlignment="1" applyProtection="1">
      <alignment horizontal="center" vertical="center"/>
      <protection locked="0"/>
    </xf>
    <xf numFmtId="0" fontId="17" fillId="2" borderId="4" xfId="0" applyNumberFormat="1" applyFont="1" applyFill="1" applyBorder="1" applyAlignment="1" applyProtection="1">
      <alignment horizontal="center" vertical="center"/>
    </xf>
    <xf numFmtId="0" fontId="18" fillId="2" borderId="4" xfId="0" applyNumberFormat="1" applyFont="1" applyFill="1" applyBorder="1" applyAlignment="1" applyProtection="1">
      <alignment horizontal="left" vertical="center"/>
    </xf>
    <xf numFmtId="0" fontId="17" fillId="2" borderId="5" xfId="0" applyNumberFormat="1" applyFont="1" applyFill="1" applyBorder="1" applyAlignment="1" applyProtection="1">
      <alignment horizontal="left" vertical="center"/>
    </xf>
    <xf numFmtId="0" fontId="17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1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quotePrefix="1" applyNumberFormat="1" applyFont="1" applyFill="1" applyAlignment="1" applyProtection="1">
      <alignment vertical="center"/>
      <protection locked="0"/>
    </xf>
    <xf numFmtId="0" fontId="20" fillId="0" borderId="0" xfId="0" applyNumberFormat="1" applyFont="1" applyFill="1" applyAlignment="1" applyProtection="1">
      <alignment vertical="center"/>
      <protection locked="0"/>
    </xf>
    <xf numFmtId="0" fontId="20" fillId="0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NumberFormat="1" applyFont="1" applyFill="1" applyAlignment="1" applyProtection="1">
      <alignment horizontal="left" vertical="center"/>
      <protection locked="0"/>
    </xf>
    <xf numFmtId="0" fontId="21" fillId="0" borderId="0" xfId="0" applyNumberFormat="1" applyFont="1" applyFill="1" applyBorder="1" applyAlignment="1" applyProtection="1">
      <alignment horizontal="left" vertical="center"/>
      <protection locked="0"/>
    </xf>
    <xf numFmtId="0" fontId="22" fillId="0" borderId="0" xfId="0" applyNumberFormat="1" applyFont="1" applyFill="1" applyAlignment="1" applyProtection="1">
      <alignment horizontal="center" vertical="center"/>
      <protection locked="0"/>
    </xf>
    <xf numFmtId="0" fontId="22" fillId="0" borderId="0" xfId="0" applyNumberFormat="1" applyFont="1" applyFill="1" applyAlignment="1" applyProtection="1">
      <alignment vertical="center"/>
      <protection locked="0"/>
    </xf>
    <xf numFmtId="0" fontId="23" fillId="0" borderId="0" xfId="0" applyNumberFormat="1" applyFont="1" applyFill="1" applyAlignment="1" applyProtection="1">
      <alignment vertical="center"/>
      <protection locked="0"/>
    </xf>
    <xf numFmtId="0" fontId="20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24" fillId="0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NumberFormat="1" applyFont="1" applyFill="1" applyBorder="1" applyAlignment="1" applyProtection="1">
      <alignment vertical="center"/>
      <protection locked="0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6" fillId="0" borderId="0" xfId="0" quotePrefix="1" applyNumberFormat="1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929;&#959;&#965;&#955;&#945;/&#917;&#960;&#953;&#966;&#940;&#957;&#949;&#953;&#945;%20&#949;&#961;&#947;&#945;&#963;&#943;&#945;&#962;/1o%20E3%20KALAMATA%20G1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DrawPrep"/>
      <sheetName val="Draw"/>
      <sheetName val="PrgPrep"/>
      <sheetName val="Day1"/>
      <sheetName val="Day2"/>
      <sheetName val="notes"/>
      <sheetName val="tables"/>
    </sheetNames>
    <definedNames>
      <definedName name="Sheet2pdf"/>
    </definedNames>
    <sheetDataSet>
      <sheetData sheetId="0">
        <row r="3">
          <cell r="B3" t="str">
            <v>ΣΤ' ΕΝΩΣΗ</v>
          </cell>
        </row>
        <row r="4">
          <cell r="B4" t="str">
            <v>1ο Ε3</v>
          </cell>
        </row>
        <row r="6">
          <cell r="B6" t="str">
            <v>Ο.Α.ΚΑΛΑΜΑΤΑΣ</v>
          </cell>
        </row>
        <row r="7">
          <cell r="B7" t="str">
            <v>Κ12</v>
          </cell>
        </row>
        <row r="8">
          <cell r="B8" t="str">
            <v>21</v>
          </cell>
        </row>
        <row r="9">
          <cell r="B9" t="str">
            <v>22 Φεβ 2015</v>
          </cell>
        </row>
        <row r="10">
          <cell r="B10" t="str">
            <v>Χρήστος Χριστόπουλος</v>
          </cell>
        </row>
        <row r="12">
          <cell r="G12">
            <v>1</v>
          </cell>
          <cell r="H12">
            <v>1</v>
          </cell>
        </row>
        <row r="13">
          <cell r="G13">
            <v>2</v>
          </cell>
          <cell r="H13">
            <v>2</v>
          </cell>
        </row>
        <row r="14">
          <cell r="G14">
            <v>3</v>
          </cell>
          <cell r="H14">
            <v>8</v>
          </cell>
        </row>
        <row r="15">
          <cell r="G15">
            <v>4</v>
          </cell>
          <cell r="H15">
            <v>3</v>
          </cell>
        </row>
        <row r="16">
          <cell r="G16">
            <v>5</v>
          </cell>
          <cell r="H16">
            <v>6</v>
          </cell>
        </row>
        <row r="17">
          <cell r="G17">
            <v>6</v>
          </cell>
          <cell r="H17">
            <v>5</v>
          </cell>
        </row>
        <row r="18">
          <cell r="B18">
            <v>0</v>
          </cell>
          <cell r="G18">
            <v>7</v>
          </cell>
          <cell r="H18">
            <v>7</v>
          </cell>
        </row>
        <row r="19">
          <cell r="B19">
            <v>2</v>
          </cell>
          <cell r="G19">
            <v>8</v>
          </cell>
          <cell r="H19">
            <v>4</v>
          </cell>
        </row>
        <row r="24">
          <cell r="B24" t="str">
            <v>ok</v>
          </cell>
        </row>
      </sheetData>
      <sheetData sheetId="1">
        <row r="3">
          <cell r="A3">
            <v>1</v>
          </cell>
          <cell r="C3">
            <v>27105</v>
          </cell>
          <cell r="D3" t="str">
            <v>ΣΟΥΡΛΙΓΚΑ ΝΤΕΜΥ</v>
          </cell>
          <cell r="E3" t="str">
            <v>Ο.Α. ΣΥΚΙΩΝΟΣ ΚΙΑΤΟΥ</v>
          </cell>
          <cell r="F3">
            <v>4</v>
          </cell>
        </row>
        <row r="4">
          <cell r="A4">
            <v>2</v>
          </cell>
          <cell r="C4">
            <v>29324</v>
          </cell>
          <cell r="D4" t="str">
            <v>ΜΗΝΑΔΑΚΗ ΕΥΑ</v>
          </cell>
          <cell r="E4" t="str">
            <v>Ο.Α. ΣΥΚΙΩΝΟΣ ΚΙΑΤΟΥ</v>
          </cell>
          <cell r="F4">
            <v>4</v>
          </cell>
        </row>
        <row r="5">
          <cell r="A5">
            <v>3</v>
          </cell>
          <cell r="C5">
            <v>26198</v>
          </cell>
          <cell r="D5" t="str">
            <v>ΛΑΜΠΡΟΠΟΥΛΟΥ ΣΗΛΙΑ</v>
          </cell>
          <cell r="E5" t="str">
            <v>Α.Ε.Κ. ΤΡΙΠΟΛΗΣ</v>
          </cell>
          <cell r="F5">
            <v>3</v>
          </cell>
        </row>
        <row r="6">
          <cell r="A6">
            <v>4</v>
          </cell>
          <cell r="C6">
            <v>31751</v>
          </cell>
          <cell r="D6" t="str">
            <v>ΒΕΡΓΟΠΟΥΛΟΥ ΔΗΜΗΤΡΑ</v>
          </cell>
          <cell r="E6" t="str">
            <v>Ο.Α. ΣΥΚΙΩΝΟΣ ΚΙΑΤΟΥ</v>
          </cell>
          <cell r="F6">
            <v>1.5</v>
          </cell>
        </row>
        <row r="7">
          <cell r="A7">
            <v>5</v>
          </cell>
          <cell r="C7">
            <v>32749</v>
          </cell>
          <cell r="D7" t="str">
            <v>ΚΟΡΔΟΝΟΥΡΗ ΝΙΚΟΛΕΤΑ</v>
          </cell>
          <cell r="E7" t="str">
            <v>Σ.Α. ΜΕΣΣΗΝΗΣ</v>
          </cell>
          <cell r="F7">
            <v>0</v>
          </cell>
        </row>
        <row r="8">
          <cell r="A8">
            <v>6</v>
          </cell>
          <cell r="C8">
            <v>33355</v>
          </cell>
          <cell r="D8" t="str">
            <v>ΒΟΥΔΟΥΡΗ ΜΙΛΕΝΑ</v>
          </cell>
          <cell r="E8" t="str">
            <v>Α.Ε.Κ. ΤΡΙΠΟΛΗΣ</v>
          </cell>
          <cell r="F8">
            <v>0</v>
          </cell>
        </row>
        <row r="9">
          <cell r="A9">
            <v>7</v>
          </cell>
          <cell r="C9">
            <v>33351</v>
          </cell>
          <cell r="D9" t="str">
            <v>ΝΑΣΙΑΚΟΥ ΣΙΣΣΥ</v>
          </cell>
          <cell r="E9" t="str">
            <v>Α.Ε.Κ. ΤΡΙΠΟΛΗΣ</v>
          </cell>
          <cell r="F9">
            <v>0</v>
          </cell>
        </row>
        <row r="10">
          <cell r="A10">
            <v>8</v>
          </cell>
          <cell r="C10">
            <v>37281</v>
          </cell>
          <cell r="D10" t="str">
            <v>ΜΠΟΥΖΟΥ ΜΕΛΙΝΑ</v>
          </cell>
          <cell r="E10" t="str">
            <v>Ο.Α. ΑΙΓΙΑΛΕΙΑΣ</v>
          </cell>
          <cell r="F10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FF00"/>
    <pageSetUpPr fitToPage="1"/>
  </sheetPr>
  <dimension ref="A1:S48"/>
  <sheetViews>
    <sheetView showGridLines="0" showZeros="0" tabSelected="1" topLeftCell="F1" zoomScale="115" zoomScaleNormal="115" workbookViewId="0">
      <pane ySplit="1" topLeftCell="A2" activePane="bottomLeft" state="frozen"/>
      <selection pane="bottomLeft" activeCell="R10" sqref="R10"/>
    </sheetView>
  </sheetViews>
  <sheetFormatPr defaultColWidth="5.140625" defaultRowHeight="10.5"/>
  <cols>
    <col min="1" max="1" width="3.140625" style="5" bestFit="1" customWidth="1"/>
    <col min="2" max="2" width="2.5703125" style="5" hidden="1" customWidth="1"/>
    <col min="3" max="3" width="7" style="11" hidden="1" customWidth="1"/>
    <col min="4" max="4" width="5.85546875" style="12" hidden="1" customWidth="1"/>
    <col min="5" max="5" width="5.42578125" style="12" hidden="1" customWidth="1"/>
    <col min="6" max="6" width="3" style="5" customWidth="1"/>
    <col min="7" max="7" width="3.42578125" style="11" bestFit="1" customWidth="1"/>
    <col min="8" max="8" width="4.7109375" style="11" customWidth="1"/>
    <col min="9" max="9" width="6" style="13" bestFit="1" customWidth="1"/>
    <col min="10" max="10" width="30.7109375" style="5" customWidth="1"/>
    <col min="11" max="11" width="16.7109375" style="5" hidden="1" customWidth="1"/>
    <col min="12" max="12" width="20.7109375" style="5" customWidth="1"/>
    <col min="13" max="13" width="0.85546875" style="80" customWidth="1"/>
    <col min="14" max="14" width="15.7109375" style="5" customWidth="1"/>
    <col min="15" max="15" width="0.85546875" style="41" customWidth="1"/>
    <col min="16" max="16" width="15.7109375" style="5" customWidth="1"/>
    <col min="17" max="17" width="1.5703125" style="41" bestFit="1" customWidth="1"/>
    <col min="18" max="18" width="15.7109375" style="4" customWidth="1"/>
    <col min="19" max="19" width="5.140625" style="4" customWidth="1"/>
    <col min="20" max="16384" width="5.140625" style="5"/>
  </cols>
  <sheetData>
    <row r="1" spans="1:19" ht="17.45" customHeight="1">
      <c r="A1" s="1" t="str">
        <f>[1]Setup!B3 &amp; ", " &amp; [1]Setup!B4 &amp; ", " &amp; [1]Setup!B6 &amp; ", " &amp; [1]Setup!B8 &amp; "-" &amp; [1]Setup!B9</f>
        <v>ΣΤ' ΕΝΩΣΗ, 1ο Ε3, Ο.Α.ΚΑΛΑΜΑΤΑΣ, 21-22 Φεβ 2015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3" t="str">
        <f>[1]Setup!B7</f>
        <v>Κ12</v>
      </c>
    </row>
    <row r="2" spans="1:19">
      <c r="A2" s="6"/>
      <c r="B2" s="7">
        <f>[1]Setup!$B$18</f>
        <v>0</v>
      </c>
      <c r="C2" s="7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9">
      <c r="J3" s="14">
        <v>8</v>
      </c>
      <c r="K3" s="14"/>
      <c r="L3" s="14"/>
      <c r="M3" s="15"/>
      <c r="N3" s="16">
        <v>4</v>
      </c>
      <c r="O3" s="17"/>
      <c r="P3" s="16">
        <v>2</v>
      </c>
      <c r="Q3" s="17"/>
      <c r="R3" s="18" t="s">
        <v>0</v>
      </c>
    </row>
    <row r="4" spans="1:19" s="11" customFormat="1" ht="12" customHeight="1">
      <c r="A4" s="19" t="s">
        <v>1</v>
      </c>
      <c r="B4" s="20"/>
      <c r="C4" s="21" t="s">
        <v>2</v>
      </c>
      <c r="D4" s="21" t="s">
        <v>3</v>
      </c>
      <c r="E4" s="21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22" t="s">
        <v>9</v>
      </c>
      <c r="K4" s="21" t="s">
        <v>10</v>
      </c>
      <c r="L4" s="22" t="s">
        <v>11</v>
      </c>
      <c r="M4" s="23"/>
      <c r="O4" s="24"/>
      <c r="Q4" s="24"/>
      <c r="R4" s="25"/>
      <c r="S4" s="25"/>
    </row>
    <row r="5" spans="1:19" ht="12" customHeight="1">
      <c r="A5" s="26">
        <v>1</v>
      </c>
      <c r="B5" s="27">
        <v>1</v>
      </c>
      <c r="C5" s="28"/>
      <c r="D5" s="29"/>
      <c r="E5" s="30">
        <v>0</v>
      </c>
      <c r="F5" s="31">
        <f>IF(NOT($G5="-"),VLOOKUP($G5,[1]DrawPrep!$A$3:$G$10,2,FALSE),"")</f>
        <v>0</v>
      </c>
      <c r="G5" s="32">
        <f>VLOOKUP($B5,[1]Setup!$G$12:$H$27,2,FALSE)</f>
        <v>1</v>
      </c>
      <c r="H5" s="33">
        <f>IF($G5&gt;0,VLOOKUP($G5,[1]DrawPrep!$A$3:$G$10,6,FALSE),0)</f>
        <v>4</v>
      </c>
      <c r="I5" s="34">
        <f>IF([1]Setup!$B$24="#",0,IF($G5&gt;0,VLOOKUP($G5,[1]DrawPrep!$A$3:$G$10,3,FALSE),0))</f>
        <v>27105</v>
      </c>
      <c r="J5" s="35" t="str">
        <f>IF($I5&gt;0,VLOOKUP($I5,[1]DrawPrep!$C$3:$G$10,2,FALSE),"bye")</f>
        <v>ΣΟΥΡΛΙΓΚΑ ΝΤΕΜΥ</v>
      </c>
      <c r="K5" s="35" t="str">
        <f t="shared" ref="K5:K12" si="0">IF(NOT(I5&gt;0),"", IF(ISERROR(FIND("-",J5)), LEFT(J5,FIND(" ",J5)-1), IF(FIND("-",J5)&gt;FIND(" ",J5),LEFT(J5,FIND(" ",J5)-1), LEFT(J5,FIND("-",J5)-1) )))</f>
        <v>ΣΟΥΡΛΙΓΚΑ</v>
      </c>
      <c r="L5" s="36" t="str">
        <f>IF($I5&gt;0,VLOOKUP($I5,[1]DrawPrep!$C$3:$G$10,3,FALSE),"")</f>
        <v>Ο.Α. ΣΥΚΙΩΝΟΣ ΚΙΑΤΟΥ</v>
      </c>
      <c r="M5" s="37">
        <v>1</v>
      </c>
      <c r="N5" s="38" t="str">
        <f>UPPER(IF($A$2="R",IF(OR(M5=1,M5="a"),I5,IF(OR(M5=2,M5="b"),I6,"")),IF(OR(M5=1,M5="1"),K5,IF(OR(M5=2,M5="b"),K6,""))))</f>
        <v>ΣΟΥΡΛΙΓΚΑ</v>
      </c>
      <c r="O5" s="39"/>
      <c r="P5" s="40"/>
      <c r="R5" s="40"/>
    </row>
    <row r="6" spans="1:19" ht="12" customHeight="1">
      <c r="A6" s="42">
        <v>2</v>
      </c>
      <c r="B6" s="43">
        <f>1-D6+2</f>
        <v>3</v>
      </c>
      <c r="C6" s="44">
        <v>1</v>
      </c>
      <c r="D6" s="45">
        <f>E6</f>
        <v>0</v>
      </c>
      <c r="E6" s="44">
        <f>IF($B$2&gt;=1,1,0)</f>
        <v>0</v>
      </c>
      <c r="F6" s="46">
        <f>IF(NOT($G6="-"),VLOOKUP($G6,[1]DrawPrep!$A$3:$G$10,2,FALSE),"")</f>
        <v>0</v>
      </c>
      <c r="G6" s="46">
        <f>IF($B$2&gt;=1,"-",VLOOKUP($B6,[1]Setup!$G$12:$H$27,2,FALSE))</f>
        <v>8</v>
      </c>
      <c r="H6" s="47">
        <f>IF(NOT($G6="-"),VLOOKUP($G6,[1]DrawPrep!$A$3:$G$10,6,FALSE),0)</f>
        <v>0</v>
      </c>
      <c r="I6" s="47">
        <f>IF([1]Setup!$B$24="#",0,IF(NOT($G6="-"),VLOOKUP($G6,[1]DrawPrep!$A$3:$G$10,3,FALSE),0))</f>
        <v>37281</v>
      </c>
      <c r="J6" s="48" t="str">
        <f>IF($I6&gt;0,VLOOKUP($I6,[1]DrawPrep!$C$3:$G$10,2,FALSE),"bye")</f>
        <v>ΜΠΟΥΖΟΥ ΜΕΛΙΝΑ</v>
      </c>
      <c r="K6" s="48" t="str">
        <f t="shared" si="0"/>
        <v>ΜΠΟΥΖΟΥ</v>
      </c>
      <c r="L6" s="49" t="str">
        <f>IF($I6&gt;0,VLOOKUP($I6,[1]DrawPrep!$C$3:$G$10,3,FALSE),"")</f>
        <v>Ο.Α. ΑΙΓΙΑΛΕΙΑΣ</v>
      </c>
      <c r="M6" s="50"/>
      <c r="N6" s="51" t="s">
        <v>12</v>
      </c>
      <c r="O6" s="37">
        <v>2</v>
      </c>
      <c r="P6" s="38" t="str">
        <f>UPPER(IF($A$2="R",IF(OR(O6=1,O6="a"),N5,IF(OR(O6=2,O6="b"),N7,"")),IF(OR(O6=1,O6="a"),N5,IF(OR(O6=2,O6="b"),N7,""))))</f>
        <v>ΛΑΜΠΡΟΠΟΥΛΟΥ</v>
      </c>
      <c r="Q6" s="39"/>
      <c r="R6" s="40"/>
    </row>
    <row r="7" spans="1:19" ht="12" customHeight="1">
      <c r="A7" s="52">
        <v>3</v>
      </c>
      <c r="B7" s="43">
        <f>2-D7+2</f>
        <v>4</v>
      </c>
      <c r="C7" s="53"/>
      <c r="D7" s="45">
        <f t="shared" ref="D7:D12" si="1">D6+E7</f>
        <v>0</v>
      </c>
      <c r="E7" s="54">
        <v>0</v>
      </c>
      <c r="F7" s="55">
        <f>IF(NOT($G7="-"),VLOOKUP($G7,[1]DrawPrep!$A$3:$G$10,2,FALSE),"")</f>
        <v>0</v>
      </c>
      <c r="G7" s="55">
        <f>VLOOKUP($B7,[1]Setup!$G$12:$H$27,2,FALSE)</f>
        <v>3</v>
      </c>
      <c r="H7" s="56">
        <f>IF($G7&gt;0,VLOOKUP($G7,[1]DrawPrep!$A$3:$G$10,6,FALSE),0)</f>
        <v>3</v>
      </c>
      <c r="I7" s="56">
        <f>IF([1]Setup!$B$24="#",0,IF($G7&gt;0,VLOOKUP($G7,[1]DrawPrep!$A$3:$G$10,3,FALSE),0))</f>
        <v>26198</v>
      </c>
      <c r="J7" s="57" t="str">
        <f>IF($I7&gt;0,VLOOKUP($I7,[1]DrawPrep!$C$3:$G$10,2,FALSE),"bye")</f>
        <v>ΛΑΜΠΡΟΠΟΥΛΟΥ ΣΗΛΙΑ</v>
      </c>
      <c r="K7" s="57" t="str">
        <f t="shared" si="0"/>
        <v>ΛΑΜΠΡΟΠΟΥΛΟΥ</v>
      </c>
      <c r="L7" s="58" t="str">
        <f>IF($I7&gt;0,VLOOKUP($I7,[1]DrawPrep!$C$3:$G$10,3,FALSE),"")</f>
        <v>Α.Ε.Κ. ΤΡΙΠΟΛΗΣ</v>
      </c>
      <c r="M7" s="37">
        <v>1</v>
      </c>
      <c r="N7" s="38" t="str">
        <f>UPPER(IF($A$2="R",IF(OR(M7=1,M7="a"),I7,IF(OR(M7=2,M7="b"),I8,"")),IF(OR(M7=1,M7="a"),K7,IF(OR(M7=2,M7="b"),K8,""))))</f>
        <v>ΛΑΜΠΡΟΠΟΥΛΟΥ</v>
      </c>
      <c r="O7" s="50"/>
      <c r="P7" s="51" t="s">
        <v>13</v>
      </c>
      <c r="Q7" s="39"/>
      <c r="R7" s="40"/>
    </row>
    <row r="8" spans="1:19" ht="12" customHeight="1">
      <c r="A8" s="59">
        <v>4</v>
      </c>
      <c r="B8" s="43">
        <f>3-D8+2</f>
        <v>5</v>
      </c>
      <c r="C8" s="44">
        <v>3</v>
      </c>
      <c r="D8" s="45">
        <f t="shared" si="1"/>
        <v>0</v>
      </c>
      <c r="E8" s="44">
        <f>IF($B$2&gt;=3,1,0)</f>
        <v>0</v>
      </c>
      <c r="F8" s="60">
        <f>IF(NOT($G8="-"),VLOOKUP($G8,[1]DrawPrep!$A$3:$G$10,2,FALSE),"")</f>
        <v>0</v>
      </c>
      <c r="G8" s="60">
        <f>IF($B$2&gt;=3,"-",VLOOKUP($B8,[1]Setup!$G$12:$H$27,2,FALSE))</f>
        <v>6</v>
      </c>
      <c r="H8" s="61">
        <f>IF(NOT($G8="-"),VLOOKUP($G8,[1]DrawPrep!$A$3:$G$10,6,FALSE),0)</f>
        <v>0</v>
      </c>
      <c r="I8" s="61">
        <f>IF([1]Setup!$B$24="#",0,IF(NOT($G8="-"),VLOOKUP($G8,[1]DrawPrep!$A$3:$G$10,3,FALSE),0))</f>
        <v>33355</v>
      </c>
      <c r="J8" s="62" t="str">
        <f>IF($I8&gt;0,VLOOKUP($I8,[1]DrawPrep!$C$3:$G$10,2,FALSE),"bye")</f>
        <v>ΒΟΥΔΟΥΡΗ ΜΙΛΕΝΑ</v>
      </c>
      <c r="K8" s="62" t="str">
        <f t="shared" si="0"/>
        <v>ΒΟΥΔΟΥΡΗ</v>
      </c>
      <c r="L8" s="63" t="str">
        <f>IF($I8&gt;0,VLOOKUP($I8,[1]DrawPrep!$C$3:$G$10,3,FALSE),"")</f>
        <v>Α.Ε.Κ. ΤΡΙΠΟΛΗΣ</v>
      </c>
      <c r="M8" s="50"/>
      <c r="N8" s="12" t="s">
        <v>12</v>
      </c>
      <c r="O8" s="39"/>
      <c r="P8" s="64"/>
      <c r="Q8" s="65">
        <v>2</v>
      </c>
      <c r="R8" s="66" t="str">
        <f>UPPER(IF($A$2="R",IF(OR(Q8=1,Q8="a"),P6,IF(OR(Q8=2,Q8="b"),P10,"")),IF(OR(Q8=1,Q8="a"),P6,IF(OR(Q8=2,Q8="b"),P10,""))))</f>
        <v>ΜΗΝΑΔΑΚΗ</v>
      </c>
    </row>
    <row r="9" spans="1:19" ht="12" customHeight="1">
      <c r="A9" s="26">
        <v>5</v>
      </c>
      <c r="B9" s="43">
        <f>4-D9+2</f>
        <v>6</v>
      </c>
      <c r="C9" s="53"/>
      <c r="D9" s="45">
        <f t="shared" si="1"/>
        <v>0</v>
      </c>
      <c r="E9" s="54">
        <v>0</v>
      </c>
      <c r="F9" s="31">
        <f>IF(NOT($G9="-"),VLOOKUP($G9,[1]DrawPrep!$A$3:$G$10,2,FALSE),"")</f>
        <v>0</v>
      </c>
      <c r="G9" s="31">
        <f>VLOOKUP($B9,[1]Setup!$G$12:$H$27,2,FALSE)</f>
        <v>5</v>
      </c>
      <c r="H9" s="67">
        <f>IF($G9&gt;0,VLOOKUP($G9,[1]DrawPrep!$A$3:$G$10,6,FALSE),0)</f>
        <v>0</v>
      </c>
      <c r="I9" s="67">
        <f>IF([1]Setup!$B$24="#",0,IF($G9&gt;0,VLOOKUP($G9,[1]DrawPrep!$A$3:$G$10,3,FALSE),0))</f>
        <v>32749</v>
      </c>
      <c r="J9" s="68" t="str">
        <f>IF($I9&gt;0,VLOOKUP($I9,[1]DrawPrep!$C$3:$G$10,2,FALSE),"bye")</f>
        <v>ΚΟΡΔΟΝΟΥΡΗ ΝΙΚΟΛΕΤΑ</v>
      </c>
      <c r="K9" s="68" t="str">
        <f t="shared" si="0"/>
        <v>ΚΟΡΔΟΝΟΥΡΗ</v>
      </c>
      <c r="L9" s="69" t="str">
        <f>IF($I9&gt;0,VLOOKUP($I9,[1]DrawPrep!$C$3:$G$10,3,FALSE),"")</f>
        <v>Σ.Α. ΜΕΣΣΗΝΗΣ</v>
      </c>
      <c r="M9" s="70">
        <v>2</v>
      </c>
      <c r="N9" s="38" t="str">
        <f>UPPER(IF($A$2="R",IF(OR(M9=1,M9="a"),I9,IF(OR(M9=2,M9="b"),I10,"")),IF(OR(M9=1,M9="a"),K9,IF(OR(M9=2,M9="b"),K10,""))))</f>
        <v>ΝΑΣΙΑΚΟΥ</v>
      </c>
      <c r="O9" s="39"/>
      <c r="P9" s="64"/>
      <c r="Q9" s="39"/>
      <c r="R9" s="71" t="s">
        <v>14</v>
      </c>
    </row>
    <row r="10" spans="1:19" ht="12" customHeight="1">
      <c r="A10" s="42">
        <v>6</v>
      </c>
      <c r="B10" s="43">
        <f>5-D10+2</f>
        <v>7</v>
      </c>
      <c r="C10" s="44">
        <v>4</v>
      </c>
      <c r="D10" s="45">
        <f t="shared" si="1"/>
        <v>0</v>
      </c>
      <c r="E10" s="44">
        <f>IF($B$2&gt;=4,1,0)</f>
        <v>0</v>
      </c>
      <c r="F10" s="46">
        <f>IF(NOT($G10="-"),VLOOKUP($G10,[1]DrawPrep!$A$3:$G$10,2,FALSE),"")</f>
        <v>0</v>
      </c>
      <c r="G10" s="46">
        <f>IF($B$2&gt;=4,"-",VLOOKUP($B10,[1]Setup!$G$12:$H$27,2,FALSE))</f>
        <v>7</v>
      </c>
      <c r="H10" s="47">
        <f>IF(NOT($G10="-"),VLOOKUP($G10,[1]DrawPrep!$A$3:$G$10,6,FALSE),0)</f>
        <v>0</v>
      </c>
      <c r="I10" s="47">
        <f>IF([1]Setup!$B$24="#",0,IF(NOT($G10="-"),VLOOKUP($G10,[1]DrawPrep!$A$3:$G$10,3,FALSE),0))</f>
        <v>33351</v>
      </c>
      <c r="J10" s="48" t="str">
        <f>IF($I10&gt;0,VLOOKUP($I10,[1]DrawPrep!$C$3:$G$10,2,FALSE),"bye")</f>
        <v>ΝΑΣΙΑΚΟΥ ΣΙΣΣΥ</v>
      </c>
      <c r="K10" s="48" t="str">
        <f t="shared" si="0"/>
        <v>ΝΑΣΙΑΚΟΥ</v>
      </c>
      <c r="L10" s="49" t="str">
        <f>IF($I10&gt;0,VLOOKUP($I10,[1]DrawPrep!$C$3:$G$10,3,FALSE),"")</f>
        <v>Α.Ε.Κ. ΤΡΙΠΟΛΗΣ</v>
      </c>
      <c r="M10" s="50"/>
      <c r="N10" s="51" t="s">
        <v>15</v>
      </c>
      <c r="O10" s="37">
        <v>2</v>
      </c>
      <c r="P10" s="38" t="str">
        <f>UPPER(IF($A$2="R",IF(OR(O10=1,O10="a"),N9,IF(OR(O10=2,O10="b"),N11,"")),IF(OR(O10=1,O10="a"),N9,IF(OR(O10=2,O10="b"),N11,""))))</f>
        <v>ΜΗΝΑΔΑΚΗ</v>
      </c>
      <c r="Q10" s="72"/>
      <c r="R10" s="40"/>
    </row>
    <row r="11" spans="1:19" ht="12" customHeight="1">
      <c r="A11" s="52">
        <v>7</v>
      </c>
      <c r="B11" s="43">
        <f>6-D11+2</f>
        <v>8</v>
      </c>
      <c r="C11" s="44">
        <v>2</v>
      </c>
      <c r="D11" s="45">
        <f t="shared" si="1"/>
        <v>0</v>
      </c>
      <c r="E11" s="44">
        <f>IF($B$2&gt;=2,1,0)</f>
        <v>0</v>
      </c>
      <c r="F11" s="55">
        <f>IF(NOT($G11="-"),VLOOKUP($G11,[1]DrawPrep!$A$3:$G$10,2,FALSE),"")</f>
        <v>0</v>
      </c>
      <c r="G11" s="55">
        <f>IF($B$2&gt;=2,"-",VLOOKUP($B11,[1]Setup!$G$12:$H$27,2,FALSE))</f>
        <v>4</v>
      </c>
      <c r="H11" s="56">
        <f>IF(NOT($G11="-"),VLOOKUP($G11,[1]DrawPrep!$A$3:$G$10,6,FALSE),0)</f>
        <v>1.5</v>
      </c>
      <c r="I11" s="56">
        <f>IF([1]Setup!$B$24="#",0,IF(NOT($G11="-"),VLOOKUP($G11,[1]DrawPrep!$A$3:$G$10,3,FALSE),0))</f>
        <v>31751</v>
      </c>
      <c r="J11" s="57" t="str">
        <f>IF($I11&gt;0,VLOOKUP($I11,[1]DrawPrep!$C$3:$G$10,2,FALSE),"bye")</f>
        <v>ΒΕΡΓΟΠΟΥΛΟΥ ΔΗΜΗΤΡΑ</v>
      </c>
      <c r="K11" s="57" t="str">
        <f t="shared" si="0"/>
        <v>ΒΕΡΓΟΠΟΥΛΟΥ</v>
      </c>
      <c r="L11" s="58" t="str">
        <f>IF($I11&gt;0,VLOOKUP($I11,[1]DrawPrep!$C$3:$G$10,3,FALSE),"")</f>
        <v>Ο.Α. ΣΥΚΙΩΝΟΣ ΚΙΑΤΟΥ</v>
      </c>
      <c r="M11" s="37">
        <v>2</v>
      </c>
      <c r="N11" s="38" t="str">
        <f>UPPER(IF($A$2="R",IF(OR(M11=1,M11="a"),I11,IF(OR(M11=2,M11="b"),I12,"")),IF(OR(M11=1,M11="a"),K11,IF(OR(M11=2,M11="b"),K12,""))))</f>
        <v>ΜΗΝΑΔΑΚΗ</v>
      </c>
      <c r="O11" s="50"/>
      <c r="P11" s="73" t="s">
        <v>16</v>
      </c>
      <c r="Q11" s="39"/>
      <c r="R11" s="40"/>
    </row>
    <row r="12" spans="1:19" ht="12" customHeight="1">
      <c r="A12" s="59">
        <v>8</v>
      </c>
      <c r="B12" s="27">
        <v>2</v>
      </c>
      <c r="C12" s="53"/>
      <c r="D12" s="45">
        <f t="shared" si="1"/>
        <v>0</v>
      </c>
      <c r="E12" s="74">
        <v>0</v>
      </c>
      <c r="F12" s="60">
        <f>IF(NOT($G12="-"),VLOOKUP($G12,[1]DrawPrep!$A$3:$G$10,2,FALSE),"")</f>
        <v>0</v>
      </c>
      <c r="G12" s="75">
        <f>VLOOKUP($B12,[1]Setup!$G$12:$H$27,2,FALSE)</f>
        <v>2</v>
      </c>
      <c r="H12" s="61">
        <f>IF($G12&gt;0,VLOOKUP($G12,[1]DrawPrep!$A$3:$G$10,6,FALSE),0)</f>
        <v>4</v>
      </c>
      <c r="I12" s="76">
        <f>IF([1]Setup!$B$24="#",0,IF($G12&gt;0,VLOOKUP($G12,[1]DrawPrep!$A$3:$G$10,3,FALSE),0))</f>
        <v>29324</v>
      </c>
      <c r="J12" s="77" t="str">
        <f>IF($I12&gt;0,VLOOKUP($I12,[1]DrawPrep!$C$3:$G$10,2,FALSE),"bye")</f>
        <v>ΜΗΝΑΔΑΚΗ ΕΥΑ</v>
      </c>
      <c r="K12" s="77" t="str">
        <f t="shared" si="0"/>
        <v>ΜΗΝΑΔΑΚΗ</v>
      </c>
      <c r="L12" s="78" t="str">
        <f>IF($I12&gt;0,VLOOKUP($I12,[1]DrawPrep!$C$3:$G$10,3,FALSE),"")</f>
        <v>Ο.Α. ΣΥΚΙΩΝΟΣ ΚΙΑΤΟΥ</v>
      </c>
      <c r="M12" s="50"/>
      <c r="N12" s="73" t="s">
        <v>12</v>
      </c>
      <c r="P12" s="40"/>
      <c r="R12" s="40"/>
    </row>
    <row r="13" spans="1:19">
      <c r="G13" s="79"/>
      <c r="H13" s="79"/>
      <c r="N13" s="81" t="s">
        <v>17</v>
      </c>
      <c r="P13" s="81" t="s">
        <v>17</v>
      </c>
      <c r="R13" s="81"/>
    </row>
    <row r="14" spans="1:19">
      <c r="G14" s="25"/>
      <c r="H14" s="25"/>
      <c r="P14" s="4"/>
    </row>
    <row r="16" spans="1:19" s="82" customFormat="1" ht="9">
      <c r="C16" s="83"/>
      <c r="D16" s="84"/>
      <c r="E16" s="84"/>
      <c r="G16" s="83"/>
      <c r="H16" s="83"/>
      <c r="I16" s="83"/>
      <c r="J16" s="85" t="s">
        <v>18</v>
      </c>
      <c r="M16" s="86"/>
      <c r="O16" s="87"/>
      <c r="P16" s="88" t="s">
        <v>19</v>
      </c>
      <c r="Q16" s="85"/>
      <c r="R16" s="85"/>
    </row>
    <row r="17" spans="2:19" s="82" customFormat="1" ht="9">
      <c r="C17" s="83"/>
      <c r="D17" s="84"/>
      <c r="E17" s="84"/>
      <c r="G17" s="83"/>
      <c r="H17" s="83"/>
      <c r="I17" s="83"/>
      <c r="J17" s="89" t="str">
        <f>"1. " &amp; IF([1]Setup!B19&gt;0,LEFT([1]DrawPrep!D3,FIND(" ",[1]DrawPrep!D3)+1),"")</f>
        <v>1. ΣΟΥΡΛΙΓΚΑ Ν</v>
      </c>
      <c r="M17" s="86"/>
      <c r="O17" s="87"/>
      <c r="P17" s="90" t="str">
        <f>[1]Setup!B10</f>
        <v>Χρήστος Χριστόπουλος</v>
      </c>
      <c r="Q17" s="90"/>
      <c r="R17" s="90"/>
      <c r="S17" s="91"/>
    </row>
    <row r="18" spans="2:19" s="82" customFormat="1" ht="9">
      <c r="C18" s="83"/>
      <c r="D18" s="84"/>
      <c r="E18" s="84"/>
      <c r="G18" s="83"/>
      <c r="H18" s="83"/>
      <c r="I18" s="83"/>
      <c r="J18" s="89" t="str">
        <f>"2. " &amp; IF([1]Setup!B19&gt;1,LEFT([1]DrawPrep!D4,FIND(" ",[1]DrawPrep!D4)+1),"")</f>
        <v>2. ΜΗΝΑΔΑΚΗ Ε</v>
      </c>
      <c r="M18" s="86"/>
      <c r="O18" s="87"/>
      <c r="Q18" s="87"/>
      <c r="R18" s="91"/>
      <c r="S18" s="91"/>
    </row>
    <row r="24" spans="2:19">
      <c r="B24" s="5" t="s">
        <v>20</v>
      </c>
    </row>
    <row r="40" spans="10:10" hidden="1">
      <c r="J40" s="92" t="s">
        <v>21</v>
      </c>
    </row>
    <row r="41" spans="10:10" hidden="1">
      <c r="J41" s="93" t="str">
        <f>IF([1]Setup!$B$19&gt;0,LEFT([1]DrawPrep!D3,FIND(" ",[1]DrawPrep!D3)-1))</f>
        <v>ΣΟΥΡΛΙΓΚΑ</v>
      </c>
    </row>
    <row r="42" spans="10:10" hidden="1">
      <c r="J42" s="93" t="str">
        <f>IF([1]Setup!$B$19&gt;1,LEFT([1]DrawPrep!D4,FIND(" ",[1]DrawPrep!D4)-1))</f>
        <v>ΜΗΝΑΔΑΚΗ</v>
      </c>
    </row>
    <row r="43" spans="10:10" ht="11.25">
      <c r="J43" s="94"/>
    </row>
    <row r="44" spans="10:10" ht="11.25">
      <c r="J44" s="94"/>
    </row>
    <row r="45" spans="10:10" ht="11.25">
      <c r="J45" s="94"/>
    </row>
    <row r="46" spans="10:10" ht="11.25">
      <c r="J46" s="94"/>
    </row>
    <row r="47" spans="10:10" ht="11.25">
      <c r="J47" s="94"/>
    </row>
    <row r="48" spans="10:10" ht="11.25">
      <c r="J48" s="94"/>
    </row>
  </sheetData>
  <sheetProtection password="CF33" sheet="1" objects="1" scenarios="1" formatCells="0" formatColumns="0" formatRows="0"/>
  <protectedRanges>
    <protectedRange sqref="G5:G12" name="seeds"/>
    <protectedRange sqref="N6 N8 N10 N12 P11 P7 R9" name="scores"/>
    <protectedRange sqref="M5 M7 M9 M11 O10 O6 Q8" name="winners"/>
  </protectedRanges>
  <mergeCells count="3">
    <mergeCell ref="A1:P1"/>
    <mergeCell ref="J3:L3"/>
    <mergeCell ref="P17:R17"/>
  </mergeCells>
  <conditionalFormatting sqref="N5 N7 N9 N11 P10 P6 R8">
    <cfRule type="expression" dxfId="0" priority="1">
      <formula>MATCH(N5,$J$41:$J$44,0)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>
    <oddFooter>&amp;R&amp;D&amp;T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Draw</vt:lpstr>
      <vt:lpstr>Draw!Print_Area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ΣΠΥΡΙΔΟΥΛΑ</dc:creator>
  <cp:lastModifiedBy>ΣΠΥΡΙΔΟΥΛΑ</cp:lastModifiedBy>
  <dcterms:created xsi:type="dcterms:W3CDTF">2015-03-03T09:20:56Z</dcterms:created>
  <dcterms:modified xsi:type="dcterms:W3CDTF">2015-03-03T09:21:10Z</dcterms:modified>
</cp:coreProperties>
</file>